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Acc Class validation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7" i="1"/>
  <c r="BE32"/>
  <c r="M55" s="1"/>
  <c r="CN32"/>
  <c r="CM32"/>
  <c r="E36" s="1"/>
  <c r="C36" s="1"/>
  <c r="CL32"/>
  <c r="CK32"/>
  <c r="CJ32"/>
  <c r="CI32"/>
  <c r="E33" s="1"/>
  <c r="CH32"/>
  <c r="E32" s="1"/>
  <c r="C32" s="1"/>
  <c r="CG32"/>
  <c r="CF32"/>
  <c r="E29" s="1"/>
  <c r="CE32"/>
  <c r="CD32"/>
  <c r="CC32"/>
  <c r="C29" s="1"/>
  <c r="CB32"/>
  <c r="CA32"/>
  <c r="BZ32"/>
  <c r="O57" s="1"/>
  <c r="BY32"/>
  <c r="N57" s="1"/>
  <c r="R55"/>
  <c r="P57"/>
  <c r="U50"/>
  <c r="U55"/>
  <c r="U58"/>
  <c r="U57"/>
  <c r="R57"/>
  <c r="R59"/>
  <c r="U59" s="1"/>
  <c r="R56"/>
  <c r="U56" s="1"/>
  <c r="R60"/>
  <c r="U60" s="1"/>
  <c r="R58"/>
  <c r="R61"/>
  <c r="U61" s="1"/>
  <c r="S54"/>
  <c r="R54"/>
  <c r="U54" s="1"/>
  <c r="S53"/>
  <c r="R53"/>
  <c r="U53" s="1"/>
  <c r="R50"/>
  <c r="T52"/>
  <c r="S52"/>
  <c r="R52"/>
  <c r="U52" s="1"/>
  <c r="S49"/>
  <c r="R49"/>
  <c r="U49" s="1"/>
  <c r="S51"/>
  <c r="R51"/>
  <c r="U51" s="1"/>
  <c r="R48"/>
  <c r="U48" s="1"/>
  <c r="T48"/>
  <c r="S48"/>
  <c r="E4"/>
  <c r="C5" s="1"/>
  <c r="C6" s="1"/>
  <c r="C9" s="1"/>
  <c r="V32"/>
  <c r="N36" s="1"/>
  <c r="W32"/>
  <c r="O36" s="1"/>
  <c r="X32"/>
  <c r="P36" s="1"/>
  <c r="Y32"/>
  <c r="M37" s="1"/>
  <c r="Z32"/>
  <c r="N37" s="1"/>
  <c r="AA32"/>
  <c r="O37" s="1"/>
  <c r="AB32"/>
  <c r="P37" s="1"/>
  <c r="AC32"/>
  <c r="M38" s="1"/>
  <c r="AD32"/>
  <c r="N38" s="1"/>
  <c r="AE32"/>
  <c r="O38" s="1"/>
  <c r="AF32"/>
  <c r="P38" s="1"/>
  <c r="AG32"/>
  <c r="M39" s="1"/>
  <c r="AH32"/>
  <c r="N39" s="1"/>
  <c r="AI32"/>
  <c r="O39" s="1"/>
  <c r="AJ32"/>
  <c r="P39" s="1"/>
  <c r="AK32"/>
  <c r="M40" s="1"/>
  <c r="AL32"/>
  <c r="N40" s="1"/>
  <c r="AM32"/>
  <c r="O40" s="1"/>
  <c r="AN32"/>
  <c r="P40" s="1"/>
  <c r="AO32"/>
  <c r="M41" s="1"/>
  <c r="AP32"/>
  <c r="N41" s="1"/>
  <c r="AQ32"/>
  <c r="O41" s="1"/>
  <c r="AR32"/>
  <c r="P41" s="1"/>
  <c r="AS32"/>
  <c r="M42" s="1"/>
  <c r="AT32"/>
  <c r="N42" s="1"/>
  <c r="AU32"/>
  <c r="O42" s="1"/>
  <c r="AV32"/>
  <c r="P42" s="1"/>
  <c r="AW32"/>
  <c r="M54" s="1"/>
  <c r="AX32"/>
  <c r="N54" s="1"/>
  <c r="AY32"/>
  <c r="O54" s="1"/>
  <c r="AZ32"/>
  <c r="P54" s="1"/>
  <c r="BA32"/>
  <c r="M61" s="1"/>
  <c r="BB32"/>
  <c r="N61" s="1"/>
  <c r="BC32"/>
  <c r="O61" s="1"/>
  <c r="BD32"/>
  <c r="P61" s="1"/>
  <c r="BF32"/>
  <c r="N55" s="1"/>
  <c r="BG32"/>
  <c r="O55" s="1"/>
  <c r="BH32"/>
  <c r="P55" s="1"/>
  <c r="BI32"/>
  <c r="M58" s="1"/>
  <c r="BJ32"/>
  <c r="N58" s="1"/>
  <c r="BK32"/>
  <c r="O58" s="1"/>
  <c r="BL32"/>
  <c r="P58" s="1"/>
  <c r="BM32"/>
  <c r="M60" s="1"/>
  <c r="BN32"/>
  <c r="N60" s="1"/>
  <c r="BO32"/>
  <c r="O60" s="1"/>
  <c r="BP32"/>
  <c r="P60" s="1"/>
  <c r="BQ32"/>
  <c r="M56" s="1"/>
  <c r="BR32"/>
  <c r="N56" s="1"/>
  <c r="BS32"/>
  <c r="O56" s="1"/>
  <c r="BT32"/>
  <c r="P56" s="1"/>
  <c r="BU32"/>
  <c r="M59" s="1"/>
  <c r="BV32"/>
  <c r="N59" s="1"/>
  <c r="BW32"/>
  <c r="O59" s="1"/>
  <c r="BX32"/>
  <c r="P59" s="1"/>
  <c r="U32"/>
  <c r="M36" s="1"/>
  <c r="C11" l="1"/>
  <c r="J37" s="1"/>
  <c r="C33"/>
  <c r="N49"/>
  <c r="M50"/>
  <c r="M52"/>
  <c r="N50"/>
  <c r="N52"/>
  <c r="P48"/>
  <c r="M48"/>
  <c r="N48"/>
  <c r="P50"/>
  <c r="M57"/>
  <c r="O51"/>
  <c r="O53"/>
  <c r="P52"/>
  <c r="M51"/>
  <c r="M53"/>
  <c r="N51"/>
  <c r="N53"/>
  <c r="O52"/>
  <c r="P51"/>
  <c r="P53"/>
  <c r="O49"/>
  <c r="M49"/>
  <c r="O48"/>
  <c r="O50"/>
  <c r="P49"/>
  <c r="J58" l="1"/>
  <c r="J40"/>
  <c r="L38"/>
  <c r="L40"/>
  <c r="L41"/>
  <c r="K40"/>
  <c r="L54"/>
  <c r="J61"/>
  <c r="K57"/>
  <c r="J55"/>
  <c r="J59"/>
  <c r="K61"/>
  <c r="J54"/>
  <c r="K48"/>
  <c r="L51"/>
  <c r="K51"/>
  <c r="K37"/>
  <c r="K56"/>
  <c r="L61"/>
  <c r="L60"/>
  <c r="L58"/>
  <c r="L59"/>
  <c r="K50"/>
  <c r="L53"/>
  <c r="J51"/>
  <c r="K53"/>
  <c r="J48"/>
  <c r="J50"/>
  <c r="K39"/>
  <c r="K41"/>
  <c r="K42"/>
  <c r="J41"/>
  <c r="L39"/>
  <c r="J60"/>
  <c r="L56"/>
  <c r="J52"/>
  <c r="K54"/>
  <c r="L57"/>
  <c r="L55"/>
  <c r="L49"/>
  <c r="K49"/>
  <c r="J53"/>
  <c r="L52"/>
  <c r="L50"/>
  <c r="J49"/>
  <c r="L42"/>
  <c r="K38"/>
  <c r="J38"/>
  <c r="K58"/>
  <c r="K36"/>
  <c r="J42"/>
  <c r="J39"/>
  <c r="L37"/>
  <c r="L36"/>
  <c r="K55"/>
  <c r="J36"/>
  <c r="J56"/>
  <c r="K60"/>
  <c r="K59"/>
  <c r="J57"/>
  <c r="K52"/>
  <c r="L48"/>
  <c r="C17" l="1"/>
  <c r="E19"/>
  <c r="C24"/>
  <c r="D19"/>
  <c r="C19"/>
  <c r="E24"/>
  <c r="D18"/>
  <c r="D26"/>
  <c r="D25"/>
  <c r="E26"/>
  <c r="C18"/>
  <c r="E18"/>
  <c r="C25"/>
  <c r="E25"/>
  <c r="E17"/>
  <c r="C26"/>
  <c r="D24"/>
  <c r="D17"/>
</calcChain>
</file>

<file path=xl/sharedStrings.xml><?xml version="1.0" encoding="utf-8"?>
<sst xmlns="http://schemas.openxmlformats.org/spreadsheetml/2006/main" count="336" uniqueCount="233">
  <si>
    <t>Cable section [mm2]</t>
  </si>
  <si>
    <t>Type of meter</t>
  </si>
  <si>
    <t>PM3200</t>
  </si>
  <si>
    <t>iAMP - Analogue</t>
  </si>
  <si>
    <t>iAMP - Digital</t>
  </si>
  <si>
    <t>ION6200</t>
  </si>
  <si>
    <t>PM5000</t>
  </si>
  <si>
    <t>page 74</t>
  </si>
  <si>
    <t>page 61</t>
  </si>
  <si>
    <t>PM800</t>
  </si>
  <si>
    <t>page 82</t>
  </si>
  <si>
    <t>ION7300</t>
  </si>
  <si>
    <t>page 88</t>
  </si>
  <si>
    <t>ION7500 with CT xxx/5</t>
  </si>
  <si>
    <t>page 96</t>
  </si>
  <si>
    <t>CM4000</t>
  </si>
  <si>
    <t>page 104</t>
  </si>
  <si>
    <t>ION8800 with CT xxx/5</t>
  </si>
  <si>
    <t>page 110</t>
  </si>
  <si>
    <t>Meter consuption [VA]</t>
  </si>
  <si>
    <t>Acc class 0.5</t>
  </si>
  <si>
    <t>Acc class 1</t>
  </si>
  <si>
    <t>Acc class 3</t>
  </si>
  <si>
    <t>METSECT5CC004</t>
  </si>
  <si>
    <t>METSECT5CC005</t>
  </si>
  <si>
    <t>METSECT5CC006</t>
  </si>
  <si>
    <t>METSECT5CC008</t>
  </si>
  <si>
    <t>METSECT5CC010</t>
  </si>
  <si>
    <t>METSECT5CC013</t>
  </si>
  <si>
    <t>METSECT5CC015</t>
  </si>
  <si>
    <t>METSECT5CC020</t>
  </si>
  <si>
    <t>METSECT5CC025</t>
  </si>
  <si>
    <t>40/5</t>
  </si>
  <si>
    <t>50/5</t>
  </si>
  <si>
    <t>60/5</t>
  </si>
  <si>
    <t>75/5</t>
  </si>
  <si>
    <t>100/5</t>
  </si>
  <si>
    <t>125/5</t>
  </si>
  <si>
    <t>150/5</t>
  </si>
  <si>
    <t>200/5</t>
  </si>
  <si>
    <t>250/5</t>
  </si>
  <si>
    <t>CC - internal diameter 21mm</t>
  </si>
  <si>
    <t>Cl0.5</t>
  </si>
  <si>
    <t>Cl1</t>
  </si>
  <si>
    <t>Cl3</t>
  </si>
  <si>
    <t>METSECT5ME015</t>
  </si>
  <si>
    <t>METSECT5ME020</t>
  </si>
  <si>
    <t>METSECT5ME025</t>
  </si>
  <si>
    <t>300/5</t>
  </si>
  <si>
    <t>400/5</t>
  </si>
  <si>
    <t>500/5</t>
  </si>
  <si>
    <t>600/5</t>
  </si>
  <si>
    <t>METSECT5ME030</t>
  </si>
  <si>
    <t>METSECT5ME040</t>
  </si>
  <si>
    <t>METSECT5ME050</t>
  </si>
  <si>
    <t>METSECT5ME060</t>
  </si>
  <si>
    <t>ME-Diam. 22mm, 10*30, 11*25, 12*20</t>
  </si>
  <si>
    <t>MB-Diam. 26mm, 12*40, 15*32</t>
  </si>
  <si>
    <t>METSECT5MB025</t>
  </si>
  <si>
    <t>METSECT5MB030</t>
  </si>
  <si>
    <t>METSECT5MB040</t>
  </si>
  <si>
    <t>MA-Diam. 27mm, 10*32, 15*25</t>
  </si>
  <si>
    <t>METSECT5MA015</t>
  </si>
  <si>
    <t>METSECT5MA020</t>
  </si>
  <si>
    <t>METSECT5MA025</t>
  </si>
  <si>
    <t>METSECT5MA030</t>
  </si>
  <si>
    <t>METSECT5MA040</t>
  </si>
  <si>
    <t xml:space="preserve">MC-Diam. 32mm, 10*40, 20*32, 25*25, </t>
  </si>
  <si>
    <t>METSECT5MC025</t>
  </si>
  <si>
    <t>METSECT5MC030</t>
  </si>
  <si>
    <t>METSECT5MC040</t>
  </si>
  <si>
    <t>METSECT5MC050</t>
  </si>
  <si>
    <t>METSECT5MC060</t>
  </si>
  <si>
    <t>METSECT5MC080</t>
  </si>
  <si>
    <t>800/5</t>
  </si>
  <si>
    <t>METSECT5MF025</t>
  </si>
  <si>
    <t>METSECT5MF050</t>
  </si>
  <si>
    <t>METSECT5MF040</t>
  </si>
  <si>
    <t>METSECT5MF030</t>
  </si>
  <si>
    <t>MF-Diam. 35mm, 10*40</t>
  </si>
  <si>
    <t>METSECT5MD050</t>
  </si>
  <si>
    <t>METSECT5MD060</t>
  </si>
  <si>
    <t>METSECT5MD080</t>
  </si>
  <si>
    <t>METSECT5VF050</t>
  </si>
  <si>
    <t>METSECT5VF060</t>
  </si>
  <si>
    <t>VF -11*64, 31*51</t>
  </si>
  <si>
    <t>1000/5</t>
  </si>
  <si>
    <t>1250/5</t>
  </si>
  <si>
    <t>1500/5</t>
  </si>
  <si>
    <t>2000/5</t>
  </si>
  <si>
    <t>2500/5</t>
  </si>
  <si>
    <t>3000/5</t>
  </si>
  <si>
    <t>4000/5</t>
  </si>
  <si>
    <t>5000/5</t>
  </si>
  <si>
    <t>6000/5</t>
  </si>
  <si>
    <t>DA -32*65</t>
  </si>
  <si>
    <t>METSECT5DA020</t>
  </si>
  <si>
    <t>METSECT5DA025</t>
  </si>
  <si>
    <t>METSECT5DA030</t>
  </si>
  <si>
    <t>METSECT5DA040</t>
  </si>
  <si>
    <t>METSECT5DA050</t>
  </si>
  <si>
    <t>METSECT5DA060</t>
  </si>
  <si>
    <t>METSECT5DA080</t>
  </si>
  <si>
    <t>METSECT5DA100</t>
  </si>
  <si>
    <t>METSECT5DA125</t>
  </si>
  <si>
    <t>METSECT5DA150</t>
  </si>
  <si>
    <t>METSECT5DB100</t>
  </si>
  <si>
    <t>METSECT5DB125</t>
  </si>
  <si>
    <t>METSECT5DB150</t>
  </si>
  <si>
    <t>METSECT5DB200</t>
  </si>
  <si>
    <t>METSECT5DB250</t>
  </si>
  <si>
    <t>METSECT5DB300</t>
  </si>
  <si>
    <t>DB -38*127</t>
  </si>
  <si>
    <t>DC -52*127</t>
  </si>
  <si>
    <t>METSECT5DC200</t>
  </si>
  <si>
    <t>METSECT5DC250</t>
  </si>
  <si>
    <t>METSECT5DC300</t>
  </si>
  <si>
    <t>METSECT5DC400</t>
  </si>
  <si>
    <t>DD -34*84</t>
  </si>
  <si>
    <t>METSECT5DD100</t>
  </si>
  <si>
    <t>METSECT5DD125</t>
  </si>
  <si>
    <t>METSECT5DD150</t>
  </si>
  <si>
    <t>METSECT5DE100</t>
  </si>
  <si>
    <t>METSECT5DE125</t>
  </si>
  <si>
    <t>METSECT5DE150</t>
  </si>
  <si>
    <t>METSECT5DE200</t>
  </si>
  <si>
    <t>DH -38*102</t>
  </si>
  <si>
    <t>DE -54*102</t>
  </si>
  <si>
    <t>METSECT5DH125</t>
  </si>
  <si>
    <t>METSECT5DH150</t>
  </si>
  <si>
    <t>METSECT5DH200</t>
  </si>
  <si>
    <t>CT ratio</t>
  </si>
  <si>
    <t>Choosen</t>
  </si>
  <si>
    <t>MD-Diam. 40mm, 10*40</t>
  </si>
  <si>
    <t>VV -55*165</t>
  </si>
  <si>
    <t>METSECT5VV500</t>
  </si>
  <si>
    <t>METSECT5VV600</t>
  </si>
  <si>
    <t>Cl index</t>
  </si>
  <si>
    <t>Part number</t>
  </si>
  <si>
    <t>CC</t>
  </si>
  <si>
    <t>ME</t>
  </si>
  <si>
    <t>MB</t>
  </si>
  <si>
    <t>MA</t>
  </si>
  <si>
    <t>MC</t>
  </si>
  <si>
    <t>MF</t>
  </si>
  <si>
    <t>MD</t>
  </si>
  <si>
    <t>Table 4 - CTs for cables</t>
  </si>
  <si>
    <t>[VA]</t>
  </si>
  <si>
    <t>Table 2 - Meter consumption</t>
  </si>
  <si>
    <t>Table 3 - CTs specs</t>
  </si>
  <si>
    <t>iEM3200</t>
  </si>
  <si>
    <t>level 3</t>
  </si>
  <si>
    <t>Table 1 - Cables consumption per doubled cables</t>
  </si>
  <si>
    <t>VA</t>
  </si>
  <si>
    <t>Max Wiring mm2</t>
  </si>
  <si>
    <t>14 to 12AWG, 2.1mm2 to 3.3mm2, info from manual page 13</t>
  </si>
  <si>
    <t>installation manual</t>
  </si>
  <si>
    <t>18-12AWG, 0.82-3.31mm2, PM51 manual page 17</t>
  </si>
  <si>
    <t>12 to 24AWG, 2.5 to 0.2mm2, page 4</t>
  </si>
  <si>
    <t>5.3 to 3.3 mm2 10 to 12AWG</t>
  </si>
  <si>
    <t>PM700</t>
  </si>
  <si>
    <t>ME4zrt</t>
  </si>
  <si>
    <t>PM9</t>
  </si>
  <si>
    <t>Max size [mm2]</t>
  </si>
  <si>
    <t>NO CT AVAILABLE</t>
  </si>
  <si>
    <t>CT internal Diameter [mm]</t>
  </si>
  <si>
    <t>Safety coeff</t>
  </si>
  <si>
    <t>CT block for NSX</t>
  </si>
  <si>
    <t>CT block for NSX w voltage output</t>
  </si>
  <si>
    <t>LV429457 (3p) or LV429458 (4p)</t>
  </si>
  <si>
    <t>LV430557 (3p) or LV430558 (4p)</t>
  </si>
  <si>
    <t>LV431567 (3p) or LV431568 (4P)</t>
  </si>
  <si>
    <t>LV432657 (3p) or LV432658 (4p)</t>
  </si>
  <si>
    <t>LV432857 (3p) or LV432858 (4p)</t>
  </si>
  <si>
    <t>LV429461 (3p) or LV429462 (4p)</t>
  </si>
  <si>
    <t>LV430561 (3p) or LV430562 (4p)</t>
  </si>
  <si>
    <t>LV431569 (3p) or LV431570 (4p)</t>
  </si>
  <si>
    <t>LV432653 (3p) or LV432654 (4p)</t>
  </si>
  <si>
    <t>LV432861 (3p) or LV432862 (4p)</t>
  </si>
  <si>
    <t>Table 5 - CTs for bars</t>
  </si>
  <si>
    <t>10x30, 11x25 or 12x20</t>
  </si>
  <si>
    <t>12x40, 15x32</t>
  </si>
  <si>
    <t>10x32, 15x25</t>
  </si>
  <si>
    <t>10x40, 20x32,25x25</t>
  </si>
  <si>
    <t>10x40</t>
  </si>
  <si>
    <t>12x50, 20x40</t>
  </si>
  <si>
    <t>VF</t>
  </si>
  <si>
    <t>11x64, 31x51</t>
  </si>
  <si>
    <t>VV</t>
  </si>
  <si>
    <t>55x165</t>
  </si>
  <si>
    <t>DA</t>
  </si>
  <si>
    <t>32x65</t>
  </si>
  <si>
    <t>DB</t>
  </si>
  <si>
    <t>38x127</t>
  </si>
  <si>
    <t>DC</t>
  </si>
  <si>
    <t>52x127</t>
  </si>
  <si>
    <t>DD</t>
  </si>
  <si>
    <t>34x84</t>
  </si>
  <si>
    <t>DE</t>
  </si>
  <si>
    <t>54x102</t>
  </si>
  <si>
    <t>DH</t>
  </si>
  <si>
    <t>38x102</t>
  </si>
  <si>
    <t>max</t>
  </si>
  <si>
    <t>size 1</t>
  </si>
  <si>
    <t>size 2</t>
  </si>
  <si>
    <t>size 3</t>
  </si>
  <si>
    <t>Bars</t>
  </si>
  <si>
    <t>Max. space for bar [mm]</t>
  </si>
  <si>
    <r>
      <rPr>
        <b/>
        <sz val="11"/>
        <color theme="1"/>
        <rFont val="Calibri"/>
        <family val="2"/>
        <scheme val="minor"/>
      </rPr>
      <t>Smallest</t>
    </r>
    <r>
      <rPr>
        <sz val="11"/>
        <color theme="1"/>
        <rFont val="Calibri"/>
        <family val="2"/>
        <scheme val="minor"/>
      </rPr>
      <t xml:space="preserve"> CT available for </t>
    </r>
    <r>
      <rPr>
        <b/>
        <sz val="11"/>
        <color theme="1"/>
        <rFont val="Calibri"/>
        <family val="2"/>
        <scheme val="minor"/>
      </rPr>
      <t>BARS</t>
    </r>
  </si>
  <si>
    <r>
      <rPr>
        <b/>
        <sz val="11"/>
        <color theme="1"/>
        <rFont val="Calibri"/>
        <family val="2"/>
        <scheme val="minor"/>
      </rPr>
      <t>Smallest</t>
    </r>
    <r>
      <rPr>
        <sz val="11"/>
        <color theme="1"/>
        <rFont val="Calibri"/>
        <family val="2"/>
        <scheme val="minor"/>
      </rPr>
      <t xml:space="preserve"> CT available for </t>
    </r>
    <r>
      <rPr>
        <b/>
        <sz val="11"/>
        <color theme="1"/>
        <rFont val="Calibri"/>
        <family val="2"/>
        <scheme val="minor"/>
      </rPr>
      <t>CABLES</t>
    </r>
  </si>
  <si>
    <r>
      <t xml:space="preserve">CT block for </t>
    </r>
    <r>
      <rPr>
        <b/>
        <sz val="11"/>
        <color theme="1"/>
        <rFont val="Calibri"/>
        <family val="2"/>
        <scheme val="minor"/>
      </rPr>
      <t>NSX</t>
    </r>
    <r>
      <rPr>
        <sz val="11"/>
        <color theme="1"/>
        <rFont val="Calibri"/>
        <family val="2"/>
        <scheme val="minor"/>
      </rPr>
      <t xml:space="preserve"> breakers</t>
    </r>
  </si>
  <si>
    <t xml:space="preserve">Acc class 3 </t>
  </si>
  <si>
    <r>
      <t xml:space="preserve">CT block with </t>
    </r>
    <r>
      <rPr>
        <b/>
        <sz val="11"/>
        <color theme="1"/>
        <rFont val="Calibri"/>
        <family val="2"/>
        <scheme val="minor"/>
      </rPr>
      <t>voltage output</t>
    </r>
    <r>
      <rPr>
        <sz val="11"/>
        <color theme="1"/>
        <rFont val="Calibri"/>
        <family val="2"/>
        <scheme val="minor"/>
      </rPr>
      <t xml:space="preserve"> block for </t>
    </r>
    <r>
      <rPr>
        <b/>
        <sz val="11"/>
        <color theme="1"/>
        <rFont val="Calibri"/>
        <family val="2"/>
        <scheme val="minor"/>
      </rPr>
      <t>NSX</t>
    </r>
    <r>
      <rPr>
        <sz val="11"/>
        <color theme="1"/>
        <rFont val="Calibri"/>
        <family val="2"/>
        <scheme val="minor"/>
      </rPr>
      <t xml:space="preserve"> breakers</t>
    </r>
  </si>
  <si>
    <r>
      <rPr>
        <b/>
        <sz val="11"/>
        <color theme="1"/>
        <rFont val="Calibri"/>
        <family val="2"/>
        <scheme val="minor"/>
      </rPr>
      <t>Split-core</t>
    </r>
    <r>
      <rPr>
        <sz val="11"/>
        <color theme="1"/>
        <rFont val="Calibri"/>
        <family val="2"/>
        <scheme val="minor"/>
      </rPr>
      <t xml:space="preserve"> CT </t>
    </r>
  </si>
  <si>
    <t>H68102005A</t>
  </si>
  <si>
    <t>H68103005A</t>
  </si>
  <si>
    <t>H68114005A</t>
  </si>
  <si>
    <t>H68116005A</t>
  </si>
  <si>
    <t>H68118005A</t>
  </si>
  <si>
    <t>H681212005A</t>
  </si>
  <si>
    <t>H681216005A</t>
  </si>
  <si>
    <t>Split core CTs</t>
  </si>
  <si>
    <t>H681224005A</t>
  </si>
  <si>
    <t>1200/5</t>
  </si>
  <si>
    <t>1600/5</t>
  </si>
  <si>
    <t>2400/5</t>
  </si>
  <si>
    <t>page 7/101</t>
  </si>
  <si>
    <t xml:space="preserve">Cable lenght /2 [m] </t>
  </si>
  <si>
    <t>bfo case 16911033 12AWG</t>
  </si>
  <si>
    <t>Total consumption [VA]</t>
  </si>
  <si>
    <t>Total cable consumption</t>
  </si>
  <si>
    <t>Cable consumption per meter [VA]</t>
  </si>
  <si>
    <t>Total consumption [VA] + 50%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</si>
</sst>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Fill="1" applyBorder="1"/>
    <xf numFmtId="0" fontId="0" fillId="2" borderId="15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2" xfId="0" applyFill="1" applyBorder="1"/>
    <xf numFmtId="0" fontId="0" fillId="0" borderId="10" xfId="0" applyFill="1" applyBorder="1"/>
    <xf numFmtId="0" fontId="0" fillId="0" borderId="1" xfId="0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9" fontId="0" fillId="0" borderId="1" xfId="0" applyNumberFormat="1" applyBorder="1" applyProtection="1">
      <protection locked="0"/>
    </xf>
    <xf numFmtId="0" fontId="0" fillId="0" borderId="0" xfId="0" applyProtection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O62"/>
  <sheetViews>
    <sheetView tabSelected="1" zoomScale="90" zoomScaleNormal="90" workbookViewId="0">
      <selection activeCell="G15" sqref="G15"/>
    </sheetView>
  </sheetViews>
  <sheetFormatPr defaultRowHeight="15"/>
  <cols>
    <col min="2" max="2" width="47.7109375" bestFit="1" customWidth="1"/>
    <col min="3" max="3" width="25" bestFit="1" customWidth="1"/>
    <col min="4" max="4" width="18.85546875" bestFit="1" customWidth="1"/>
    <col min="8" max="9" width="0" hidden="1" customWidth="1"/>
    <col min="10" max="10" width="11.140625" hidden="1" customWidth="1"/>
    <col min="11" max="12" width="0" hidden="1" customWidth="1"/>
    <col min="13" max="13" width="21" hidden="1" customWidth="1"/>
    <col min="14" max="14" width="0" hidden="1" customWidth="1"/>
    <col min="15" max="15" width="11" hidden="1" customWidth="1"/>
    <col min="16" max="16" width="16.28515625" hidden="1" customWidth="1"/>
    <col min="17" max="17" width="0" hidden="1" customWidth="1"/>
    <col min="18" max="18" width="15.28515625" hidden="1" customWidth="1"/>
    <col min="19" max="19" width="15.5703125" hidden="1" customWidth="1"/>
    <col min="20" max="22" width="0" hidden="1" customWidth="1"/>
    <col min="23" max="23" width="15.7109375" hidden="1" customWidth="1"/>
    <col min="24" max="26" width="0" hidden="1" customWidth="1"/>
    <col min="27" max="27" width="15.7109375" hidden="1" customWidth="1"/>
    <col min="28" max="30" width="0" hidden="1" customWidth="1"/>
    <col min="31" max="31" width="15.85546875" hidden="1" customWidth="1"/>
    <col min="32" max="34" width="0" hidden="1" customWidth="1"/>
    <col min="35" max="35" width="16" hidden="1" customWidth="1"/>
    <col min="36" max="38" width="0" hidden="1" customWidth="1"/>
    <col min="39" max="39" width="15.85546875" hidden="1" customWidth="1"/>
    <col min="40" max="42" width="0" hidden="1" customWidth="1"/>
    <col min="43" max="43" width="15.7109375" hidden="1" customWidth="1"/>
    <col min="44" max="46" width="0" hidden="1" customWidth="1"/>
    <col min="47" max="47" width="15.28515625" hidden="1" customWidth="1"/>
    <col min="48" max="50" width="0" hidden="1" customWidth="1"/>
    <col min="51" max="51" width="15.28515625" hidden="1" customWidth="1"/>
    <col min="52" max="54" width="0" hidden="1" customWidth="1"/>
    <col min="55" max="55" width="15.5703125" hidden="1" customWidth="1"/>
    <col min="56" max="56" width="0" hidden="1" customWidth="1"/>
    <col min="57" max="57" width="15.7109375" hidden="1" customWidth="1"/>
    <col min="58" max="58" width="0" hidden="1" customWidth="1"/>
    <col min="59" max="59" width="15.7109375" hidden="1" customWidth="1"/>
    <col min="60" max="62" width="0" hidden="1" customWidth="1"/>
    <col min="63" max="63" width="15.7109375" hidden="1" customWidth="1"/>
    <col min="64" max="66" width="0" hidden="1" customWidth="1"/>
    <col min="67" max="67" width="15.7109375" hidden="1" customWidth="1"/>
    <col min="68" max="70" width="0" hidden="1" customWidth="1"/>
    <col min="71" max="71" width="15.7109375" hidden="1" customWidth="1"/>
    <col min="72" max="74" width="0" hidden="1" customWidth="1"/>
    <col min="75" max="75" width="15.5703125" hidden="1" customWidth="1"/>
    <col min="76" max="88" width="0" hidden="1" customWidth="1"/>
    <col min="89" max="89" width="13.42578125" hidden="1" customWidth="1"/>
    <col min="90" max="93" width="0" hidden="1" customWidth="1"/>
  </cols>
  <sheetData>
    <row r="2" spans="2:93">
      <c r="B2" s="1" t="s">
        <v>1</v>
      </c>
      <c r="C2" s="29">
        <v>9</v>
      </c>
      <c r="H2" t="s">
        <v>152</v>
      </c>
      <c r="L2" t="s">
        <v>148</v>
      </c>
      <c r="N2" s="12" t="s">
        <v>153</v>
      </c>
      <c r="P2" s="12" t="s">
        <v>154</v>
      </c>
      <c r="T2" t="s">
        <v>149</v>
      </c>
    </row>
    <row r="3" spans="2:93">
      <c r="B3" s="1" t="s">
        <v>227</v>
      </c>
      <c r="C3" s="30">
        <v>1</v>
      </c>
      <c r="H3" s="3">
        <v>1</v>
      </c>
      <c r="I3" s="4">
        <v>1</v>
      </c>
      <c r="J3" s="5">
        <v>1</v>
      </c>
      <c r="L3" s="3">
        <v>1</v>
      </c>
      <c r="M3" s="4" t="s">
        <v>3</v>
      </c>
      <c r="N3" s="12">
        <v>1.1000000000000001</v>
      </c>
      <c r="O3" s="4" t="s">
        <v>226</v>
      </c>
      <c r="P3" s="12">
        <v>6</v>
      </c>
      <c r="Q3" s="7"/>
      <c r="S3" s="12"/>
      <c r="T3" s="12"/>
      <c r="U3" s="20" t="s">
        <v>41</v>
      </c>
      <c r="V3" s="21"/>
      <c r="W3" s="21"/>
      <c r="X3" s="22"/>
      <c r="Y3" s="20" t="s">
        <v>56</v>
      </c>
      <c r="Z3" s="21"/>
      <c r="AA3" s="21"/>
      <c r="AB3" s="22"/>
      <c r="AC3" s="20" t="s">
        <v>57</v>
      </c>
      <c r="AD3" s="21"/>
      <c r="AE3" s="21"/>
      <c r="AF3" s="22"/>
      <c r="AG3" s="20" t="s">
        <v>61</v>
      </c>
      <c r="AH3" s="21"/>
      <c r="AI3" s="21"/>
      <c r="AJ3" s="22"/>
      <c r="AK3" s="20" t="s">
        <v>67</v>
      </c>
      <c r="AL3" s="21"/>
      <c r="AM3" s="21"/>
      <c r="AN3" s="22"/>
      <c r="AO3" s="20" t="s">
        <v>79</v>
      </c>
      <c r="AP3" s="21"/>
      <c r="AQ3" s="21"/>
      <c r="AR3" s="22"/>
      <c r="AS3" s="20" t="s">
        <v>133</v>
      </c>
      <c r="AT3" s="21"/>
      <c r="AU3" s="21"/>
      <c r="AV3" s="22"/>
      <c r="AW3" s="20" t="s">
        <v>85</v>
      </c>
      <c r="AX3" s="21"/>
      <c r="AY3" s="21"/>
      <c r="AZ3" s="22"/>
      <c r="BA3" s="20" t="s">
        <v>134</v>
      </c>
      <c r="BB3" s="21"/>
      <c r="BC3" s="21"/>
      <c r="BD3" s="22"/>
      <c r="BE3" s="20" t="s">
        <v>95</v>
      </c>
      <c r="BF3" s="21"/>
      <c r="BG3" s="21"/>
      <c r="BH3" s="22"/>
      <c r="BI3" s="20" t="s">
        <v>112</v>
      </c>
      <c r="BJ3" s="21"/>
      <c r="BK3" s="21"/>
      <c r="BL3" s="22"/>
      <c r="BM3" s="20" t="s">
        <v>113</v>
      </c>
      <c r="BN3" s="21"/>
      <c r="BO3" s="21"/>
      <c r="BP3" s="22"/>
      <c r="BQ3" s="20" t="s">
        <v>118</v>
      </c>
      <c r="BR3" s="21"/>
      <c r="BS3" s="21"/>
      <c r="BT3" s="22"/>
      <c r="BU3" s="20" t="s">
        <v>127</v>
      </c>
      <c r="BV3" s="21"/>
      <c r="BW3" s="21"/>
      <c r="BX3" s="22"/>
      <c r="BY3" s="20" t="s">
        <v>126</v>
      </c>
      <c r="BZ3" s="21"/>
      <c r="CA3" s="21"/>
      <c r="CB3" s="22"/>
      <c r="CC3" s="3" t="s">
        <v>167</v>
      </c>
      <c r="CD3" s="4"/>
      <c r="CE3" s="4"/>
      <c r="CF3" s="5"/>
      <c r="CG3" s="3" t="s">
        <v>168</v>
      </c>
      <c r="CH3" s="4"/>
      <c r="CI3" s="4"/>
      <c r="CJ3" s="5"/>
      <c r="CK3" s="3" t="s">
        <v>221</v>
      </c>
      <c r="CL3" s="4"/>
      <c r="CM3" s="4"/>
      <c r="CN3" s="5"/>
    </row>
    <row r="4" spans="2:93">
      <c r="B4" s="1" t="s">
        <v>0</v>
      </c>
      <c r="C4" s="31">
        <v>3</v>
      </c>
      <c r="D4" s="1" t="s">
        <v>163</v>
      </c>
      <c r="E4" s="24">
        <f>+VLOOKUP(C2,L3:P18,5)</f>
        <v>2.5</v>
      </c>
      <c r="H4" s="6">
        <v>2</v>
      </c>
      <c r="I4" s="7">
        <v>1.5</v>
      </c>
      <c r="J4" s="8">
        <v>0.68500000000000005</v>
      </c>
      <c r="L4" s="6">
        <v>2</v>
      </c>
      <c r="M4" s="7" t="s">
        <v>4</v>
      </c>
      <c r="N4" s="13">
        <v>0.3</v>
      </c>
      <c r="O4" s="4" t="s">
        <v>226</v>
      </c>
      <c r="P4" s="13">
        <v>2.5</v>
      </c>
      <c r="Q4" s="7"/>
      <c r="S4" s="13"/>
      <c r="T4" s="13"/>
      <c r="U4" s="6"/>
      <c r="V4" s="7" t="s">
        <v>42</v>
      </c>
      <c r="W4" s="7" t="s">
        <v>43</v>
      </c>
      <c r="X4" s="8" t="s">
        <v>44</v>
      </c>
      <c r="Y4" s="6"/>
      <c r="Z4" s="7" t="s">
        <v>42</v>
      </c>
      <c r="AA4" s="7" t="s">
        <v>43</v>
      </c>
      <c r="AB4" s="8" t="s">
        <v>44</v>
      </c>
      <c r="AC4" s="6"/>
      <c r="AD4" s="7" t="s">
        <v>42</v>
      </c>
      <c r="AE4" s="7" t="s">
        <v>43</v>
      </c>
      <c r="AF4" s="8" t="s">
        <v>44</v>
      </c>
      <c r="AG4" s="6"/>
      <c r="AH4" s="7" t="s">
        <v>42</v>
      </c>
      <c r="AI4" s="7" t="s">
        <v>43</v>
      </c>
      <c r="AJ4" s="8" t="s">
        <v>44</v>
      </c>
      <c r="AK4" s="6"/>
      <c r="AL4" s="7" t="s">
        <v>42</v>
      </c>
      <c r="AM4" s="7" t="s">
        <v>43</v>
      </c>
      <c r="AN4" s="8" t="s">
        <v>44</v>
      </c>
      <c r="AO4" s="6"/>
      <c r="AP4" s="7" t="s">
        <v>42</v>
      </c>
      <c r="AQ4" s="7" t="s">
        <v>43</v>
      </c>
      <c r="AR4" s="8" t="s">
        <v>44</v>
      </c>
      <c r="AS4" s="6"/>
      <c r="AT4" s="7" t="s">
        <v>42</v>
      </c>
      <c r="AU4" s="7" t="s">
        <v>43</v>
      </c>
      <c r="AV4" s="8" t="s">
        <v>44</v>
      </c>
      <c r="AW4" s="6"/>
      <c r="AX4" s="7" t="s">
        <v>42</v>
      </c>
      <c r="AY4" s="7" t="s">
        <v>43</v>
      </c>
      <c r="AZ4" s="8" t="s">
        <v>44</v>
      </c>
      <c r="BA4" s="6"/>
      <c r="BB4" s="7" t="s">
        <v>42</v>
      </c>
      <c r="BC4" s="7" t="s">
        <v>43</v>
      </c>
      <c r="BD4" s="8" t="s">
        <v>44</v>
      </c>
      <c r="BE4" s="6"/>
      <c r="BF4" s="7" t="s">
        <v>42</v>
      </c>
      <c r="BG4" s="7" t="s">
        <v>43</v>
      </c>
      <c r="BH4" s="8" t="s">
        <v>44</v>
      </c>
      <c r="BI4" s="6"/>
      <c r="BJ4" s="7" t="s">
        <v>42</v>
      </c>
      <c r="BK4" s="7" t="s">
        <v>43</v>
      </c>
      <c r="BL4" s="8" t="s">
        <v>44</v>
      </c>
      <c r="BM4" s="6"/>
      <c r="BN4" s="7" t="s">
        <v>42</v>
      </c>
      <c r="BO4" s="7" t="s">
        <v>43</v>
      </c>
      <c r="BP4" s="8" t="s">
        <v>44</v>
      </c>
      <c r="BQ4" s="6"/>
      <c r="BR4" s="7" t="s">
        <v>42</v>
      </c>
      <c r="BS4" s="7" t="s">
        <v>43</v>
      </c>
      <c r="BT4" s="8" t="s">
        <v>44</v>
      </c>
      <c r="BU4" s="6"/>
      <c r="BV4" s="7" t="s">
        <v>42</v>
      </c>
      <c r="BW4" s="7" t="s">
        <v>43</v>
      </c>
      <c r="BX4" s="8" t="s">
        <v>44</v>
      </c>
      <c r="BY4" s="6"/>
      <c r="BZ4" s="7" t="s">
        <v>42</v>
      </c>
      <c r="CA4" s="7" t="s">
        <v>43</v>
      </c>
      <c r="CB4" s="8" t="s">
        <v>44</v>
      </c>
      <c r="CC4" s="6"/>
      <c r="CD4" s="7" t="s">
        <v>42</v>
      </c>
      <c r="CE4" s="7" t="s">
        <v>43</v>
      </c>
      <c r="CF4" s="8" t="s">
        <v>44</v>
      </c>
      <c r="CG4" s="6"/>
      <c r="CH4" s="7" t="s">
        <v>42</v>
      </c>
      <c r="CI4" s="7" t="s">
        <v>43</v>
      </c>
      <c r="CJ4" s="8" t="s">
        <v>44</v>
      </c>
      <c r="CK4" s="6"/>
      <c r="CL4" s="7" t="s">
        <v>42</v>
      </c>
      <c r="CM4" s="7" t="s">
        <v>43</v>
      </c>
      <c r="CN4" s="8" t="s">
        <v>44</v>
      </c>
    </row>
    <row r="5" spans="2:93">
      <c r="B5" s="1" t="s">
        <v>231</v>
      </c>
      <c r="C5" s="2">
        <f>+IF(VLOOKUP(C4,H3:J9,2)&gt;E4,"CHECK YOUR CABLE",VLOOKUP(C4,H3:J9,3))</f>
        <v>0.41</v>
      </c>
      <c r="H5" s="6">
        <v>3</v>
      </c>
      <c r="I5" s="7">
        <v>2.5</v>
      </c>
      <c r="J5" s="8">
        <v>0.41</v>
      </c>
      <c r="L5" s="6">
        <v>3</v>
      </c>
      <c r="M5" s="7" t="s">
        <v>161</v>
      </c>
      <c r="N5" s="13">
        <v>0.05</v>
      </c>
      <c r="O5" s="7"/>
      <c r="P5" s="13">
        <v>16</v>
      </c>
      <c r="Q5" s="7"/>
      <c r="S5" s="13">
        <v>1</v>
      </c>
      <c r="T5" s="13" t="s">
        <v>32</v>
      </c>
      <c r="U5" s="6" t="s">
        <v>23</v>
      </c>
      <c r="V5" s="7">
        <v>0</v>
      </c>
      <c r="W5" s="7">
        <v>0</v>
      </c>
      <c r="X5" s="8">
        <v>1</v>
      </c>
      <c r="Y5" s="6"/>
      <c r="Z5" s="7"/>
      <c r="AA5" s="7"/>
      <c r="AB5" s="8"/>
      <c r="AC5" s="6"/>
      <c r="AD5" s="7"/>
      <c r="AE5" s="7"/>
      <c r="AF5" s="8"/>
      <c r="AG5" s="6"/>
      <c r="AH5" s="7"/>
      <c r="AI5" s="7"/>
      <c r="AJ5" s="8"/>
      <c r="AK5" s="6"/>
      <c r="AL5" s="7"/>
      <c r="AM5" s="7"/>
      <c r="AN5" s="8"/>
      <c r="AO5" s="6"/>
      <c r="AP5" s="7"/>
      <c r="AQ5" s="7"/>
      <c r="AR5" s="8"/>
      <c r="AS5" s="6"/>
      <c r="AT5" s="7"/>
      <c r="AU5" s="7"/>
      <c r="AV5" s="8"/>
      <c r="AW5" s="6"/>
      <c r="AX5" s="7"/>
      <c r="AY5" s="7"/>
      <c r="AZ5" s="8"/>
      <c r="BA5" s="6"/>
      <c r="BB5" s="7"/>
      <c r="BC5" s="7"/>
      <c r="BD5" s="8"/>
      <c r="BE5" s="6"/>
      <c r="BF5" s="7"/>
      <c r="BG5" s="7"/>
      <c r="BH5" s="8"/>
      <c r="BI5" s="6"/>
      <c r="BJ5" s="7"/>
      <c r="BK5" s="7"/>
      <c r="BL5" s="8"/>
      <c r="BM5" s="6"/>
      <c r="BN5" s="7"/>
      <c r="BO5" s="7"/>
      <c r="BP5" s="8"/>
      <c r="BQ5" s="6"/>
      <c r="BR5" s="7"/>
      <c r="BS5" s="7"/>
      <c r="BT5" s="8"/>
      <c r="BU5" s="6"/>
      <c r="BV5" s="7"/>
      <c r="BW5" s="7"/>
      <c r="BX5" s="8"/>
      <c r="BY5" s="6"/>
      <c r="BZ5" s="7"/>
      <c r="CA5" s="7"/>
      <c r="CB5" s="8"/>
      <c r="CC5" s="6"/>
      <c r="CD5" s="7"/>
      <c r="CE5" s="7"/>
      <c r="CF5" s="8"/>
      <c r="CG5" s="6"/>
      <c r="CH5" s="7"/>
      <c r="CI5" s="7"/>
      <c r="CJ5" s="8"/>
      <c r="CK5" s="6"/>
      <c r="CL5" s="7"/>
      <c r="CM5" s="7"/>
      <c r="CN5" s="8"/>
      <c r="CO5" s="28" t="s">
        <v>32</v>
      </c>
    </row>
    <row r="6" spans="2:93">
      <c r="B6" s="1" t="s">
        <v>230</v>
      </c>
      <c r="C6" s="2">
        <f>+IF(VLOOKUP(C4,H3:J9,2)&gt;E4,"CHECK YOUR CABLE",C5*C3)</f>
        <v>0.41</v>
      </c>
      <c r="H6" s="6">
        <v>4</v>
      </c>
      <c r="I6" s="7">
        <v>4</v>
      </c>
      <c r="J6" s="8">
        <v>0.254</v>
      </c>
      <c r="L6" s="6">
        <v>4</v>
      </c>
      <c r="M6" s="7" t="s">
        <v>150</v>
      </c>
      <c r="N6" s="23">
        <v>2.4E-2</v>
      </c>
      <c r="O6" s="7" t="s">
        <v>151</v>
      </c>
      <c r="P6" s="13">
        <v>6</v>
      </c>
      <c r="Q6" s="7"/>
      <c r="S6" s="13">
        <v>2</v>
      </c>
      <c r="T6" s="13" t="s">
        <v>33</v>
      </c>
      <c r="U6" s="6" t="s">
        <v>24</v>
      </c>
      <c r="V6" s="7">
        <v>0</v>
      </c>
      <c r="W6" s="7">
        <v>1.25</v>
      </c>
      <c r="X6" s="8">
        <v>1.5</v>
      </c>
      <c r="Y6" s="6"/>
      <c r="Z6" s="7"/>
      <c r="AA6" s="7"/>
      <c r="AB6" s="8"/>
      <c r="AC6" s="6"/>
      <c r="AD6" s="7"/>
      <c r="AE6" s="7"/>
      <c r="AF6" s="8"/>
      <c r="AG6" s="6"/>
      <c r="AH6" s="7"/>
      <c r="AI6" s="7"/>
      <c r="AJ6" s="8"/>
      <c r="AK6" s="6"/>
      <c r="AL6" s="7"/>
      <c r="AM6" s="7"/>
      <c r="AN6" s="8"/>
      <c r="AO6" s="6"/>
      <c r="AP6" s="7"/>
      <c r="AQ6" s="7"/>
      <c r="AR6" s="8"/>
      <c r="AS6" s="6"/>
      <c r="AT6" s="7"/>
      <c r="AU6" s="7"/>
      <c r="AV6" s="8"/>
      <c r="AW6" s="6"/>
      <c r="AX6" s="7"/>
      <c r="AY6" s="7"/>
      <c r="AZ6" s="8"/>
      <c r="BA6" s="6"/>
      <c r="BB6" s="7"/>
      <c r="BC6" s="7"/>
      <c r="BD6" s="8"/>
      <c r="BE6" s="6"/>
      <c r="BF6" s="7"/>
      <c r="BG6" s="7"/>
      <c r="BH6" s="8"/>
      <c r="BI6" s="6"/>
      <c r="BJ6" s="7"/>
      <c r="BK6" s="7"/>
      <c r="BL6" s="8"/>
      <c r="BM6" s="6"/>
      <c r="BN6" s="7"/>
      <c r="BO6" s="7"/>
      <c r="BP6" s="8"/>
      <c r="BQ6" s="6"/>
      <c r="BR6" s="7"/>
      <c r="BS6" s="7"/>
      <c r="BT6" s="8"/>
      <c r="BU6" s="6"/>
      <c r="BV6" s="7"/>
      <c r="BW6" s="7"/>
      <c r="BX6" s="8"/>
      <c r="BY6" s="6"/>
      <c r="BZ6" s="7"/>
      <c r="CA6" s="7"/>
      <c r="CB6" s="8"/>
      <c r="CC6" s="6"/>
      <c r="CD6" s="7"/>
      <c r="CE6" s="7"/>
      <c r="CF6" s="8"/>
      <c r="CG6" s="6"/>
      <c r="CH6" s="7"/>
      <c r="CI6" s="7"/>
      <c r="CJ6" s="8"/>
      <c r="CK6" s="6"/>
      <c r="CL6" s="7"/>
      <c r="CM6" s="7"/>
      <c r="CN6" s="8"/>
      <c r="CO6" s="23" t="s">
        <v>33</v>
      </c>
    </row>
    <row r="7" spans="2:93">
      <c r="B7" s="1" t="s">
        <v>19</v>
      </c>
      <c r="C7" s="2">
        <f>+VLOOKUP(C2,L3:N16,3)</f>
        <v>0.15</v>
      </c>
      <c r="H7" s="6">
        <v>5</v>
      </c>
      <c r="I7" s="7">
        <v>6</v>
      </c>
      <c r="J7" s="8">
        <v>0.16900000000000001</v>
      </c>
      <c r="L7" s="6">
        <v>5</v>
      </c>
      <c r="M7" s="7" t="s">
        <v>5</v>
      </c>
      <c r="N7" s="13">
        <v>0.05</v>
      </c>
      <c r="O7" s="7" t="s">
        <v>8</v>
      </c>
      <c r="P7" s="13">
        <v>2.5</v>
      </c>
      <c r="Q7" s="7" t="s">
        <v>155</v>
      </c>
      <c r="S7" s="13">
        <v>3</v>
      </c>
      <c r="T7" s="13" t="s">
        <v>34</v>
      </c>
      <c r="U7" s="6" t="s">
        <v>25</v>
      </c>
      <c r="V7" s="7">
        <v>0</v>
      </c>
      <c r="W7" s="7">
        <v>1.25</v>
      </c>
      <c r="X7" s="8">
        <v>2</v>
      </c>
      <c r="Y7" s="6"/>
      <c r="Z7" s="7"/>
      <c r="AA7" s="7"/>
      <c r="AB7" s="8"/>
      <c r="AC7" s="6"/>
      <c r="AD7" s="7"/>
      <c r="AE7" s="7"/>
      <c r="AF7" s="8"/>
      <c r="AG7" s="6"/>
      <c r="AH7" s="7"/>
      <c r="AI7" s="7"/>
      <c r="AJ7" s="8"/>
      <c r="AK7" s="6"/>
      <c r="AL7" s="7"/>
      <c r="AM7" s="7"/>
      <c r="AN7" s="8"/>
      <c r="AO7" s="6"/>
      <c r="AP7" s="7"/>
      <c r="AQ7" s="7"/>
      <c r="AR7" s="8"/>
      <c r="AS7" s="6"/>
      <c r="AT7" s="7"/>
      <c r="AU7" s="7"/>
      <c r="AV7" s="8"/>
      <c r="AW7" s="6"/>
      <c r="AX7" s="7"/>
      <c r="AY7" s="7"/>
      <c r="AZ7" s="8"/>
      <c r="BA7" s="6"/>
      <c r="BB7" s="7"/>
      <c r="BC7" s="7"/>
      <c r="BD7" s="8"/>
      <c r="BE7" s="6"/>
      <c r="BF7" s="7"/>
      <c r="BG7" s="7"/>
      <c r="BH7" s="8"/>
      <c r="BI7" s="6"/>
      <c r="BJ7" s="7"/>
      <c r="BK7" s="7"/>
      <c r="BL7" s="8"/>
      <c r="BM7" s="6"/>
      <c r="BN7" s="7"/>
      <c r="BO7" s="7"/>
      <c r="BP7" s="8"/>
      <c r="BQ7" s="6"/>
      <c r="BR7" s="7"/>
      <c r="BS7" s="7"/>
      <c r="BT7" s="8"/>
      <c r="BU7" s="6"/>
      <c r="BV7" s="7"/>
      <c r="BW7" s="7"/>
      <c r="BX7" s="8"/>
      <c r="BY7" s="6"/>
      <c r="BZ7" s="7"/>
      <c r="CA7" s="7"/>
      <c r="CB7" s="8"/>
      <c r="CC7" s="6"/>
      <c r="CD7" s="7"/>
      <c r="CE7" s="7"/>
      <c r="CF7" s="8"/>
      <c r="CG7" s="6"/>
      <c r="CH7" s="7"/>
      <c r="CI7" s="7"/>
      <c r="CJ7" s="8"/>
      <c r="CK7" s="6"/>
      <c r="CL7" s="7"/>
      <c r="CM7" s="7"/>
      <c r="CN7" s="8"/>
      <c r="CO7" s="23" t="s">
        <v>34</v>
      </c>
    </row>
    <row r="8" spans="2:93">
      <c r="H8" s="6">
        <v>6</v>
      </c>
      <c r="I8" s="7">
        <v>10</v>
      </c>
      <c r="J8" s="8">
        <v>9.7500000000000003E-2</v>
      </c>
      <c r="L8" s="6">
        <v>6</v>
      </c>
      <c r="M8" s="7" t="s">
        <v>162</v>
      </c>
      <c r="N8" s="13">
        <v>0.55000000000000004</v>
      </c>
      <c r="O8" s="7"/>
      <c r="P8" s="13">
        <v>4</v>
      </c>
      <c r="Q8" s="7"/>
      <c r="S8" s="13">
        <v>4</v>
      </c>
      <c r="T8" s="13" t="s">
        <v>35</v>
      </c>
      <c r="U8" s="6" t="s">
        <v>26</v>
      </c>
      <c r="V8" s="7">
        <v>0</v>
      </c>
      <c r="W8" s="7">
        <v>1.5</v>
      </c>
      <c r="X8" s="8">
        <v>2.5</v>
      </c>
      <c r="Y8" s="6"/>
      <c r="Z8" s="7"/>
      <c r="AA8" s="7"/>
      <c r="AB8" s="8"/>
      <c r="AC8" s="6"/>
      <c r="AD8" s="7"/>
      <c r="AE8" s="7"/>
      <c r="AF8" s="8"/>
      <c r="AG8" s="6"/>
      <c r="AH8" s="7"/>
      <c r="AI8" s="7"/>
      <c r="AJ8" s="8"/>
      <c r="AK8" s="6"/>
      <c r="AL8" s="7"/>
      <c r="AM8" s="7"/>
      <c r="AN8" s="8"/>
      <c r="AO8" s="6"/>
      <c r="AP8" s="7"/>
      <c r="AQ8" s="7"/>
      <c r="AR8" s="8"/>
      <c r="AS8" s="6"/>
      <c r="AT8" s="7"/>
      <c r="AU8" s="7"/>
      <c r="AV8" s="8"/>
      <c r="AW8" s="6"/>
      <c r="AX8" s="7"/>
      <c r="AY8" s="7"/>
      <c r="AZ8" s="8"/>
      <c r="BA8" s="6"/>
      <c r="BB8" s="7"/>
      <c r="BC8" s="7"/>
      <c r="BD8" s="8"/>
      <c r="BE8" s="6"/>
      <c r="BF8" s="7"/>
      <c r="BG8" s="7"/>
      <c r="BH8" s="8"/>
      <c r="BI8" s="6"/>
      <c r="BJ8" s="7"/>
      <c r="BK8" s="7"/>
      <c r="BL8" s="8"/>
      <c r="BM8" s="6"/>
      <c r="BN8" s="7"/>
      <c r="BO8" s="7"/>
      <c r="BP8" s="8"/>
      <c r="BQ8" s="6"/>
      <c r="BR8" s="7"/>
      <c r="BS8" s="7"/>
      <c r="BT8" s="8"/>
      <c r="BU8" s="6"/>
      <c r="BV8" s="7"/>
      <c r="BW8" s="7"/>
      <c r="BX8" s="8"/>
      <c r="BY8" s="6"/>
      <c r="BZ8" s="7"/>
      <c r="CA8" s="7"/>
      <c r="CB8" s="8"/>
      <c r="CC8" s="6"/>
      <c r="CD8" s="7"/>
      <c r="CE8" s="7"/>
      <c r="CF8" s="8"/>
      <c r="CG8" s="6"/>
      <c r="CH8" s="7"/>
      <c r="CI8" s="7"/>
      <c r="CJ8" s="8"/>
      <c r="CK8" s="6"/>
      <c r="CL8" s="7"/>
      <c r="CM8" s="7"/>
      <c r="CN8" s="8"/>
      <c r="CO8" s="23" t="s">
        <v>35</v>
      </c>
    </row>
    <row r="9" spans="2:93">
      <c r="B9" s="1" t="s">
        <v>229</v>
      </c>
      <c r="C9" s="2">
        <f>+IF(VLOOKUP(C4,H3:J9,2)&gt;E4,"CHECK YOUR CABLE",C6+C7)</f>
        <v>0.55999999999999994</v>
      </c>
      <c r="H9" s="9">
        <v>7</v>
      </c>
      <c r="I9" s="10">
        <v>16</v>
      </c>
      <c r="J9" s="11">
        <v>6.2E-2</v>
      </c>
      <c r="L9" s="6">
        <v>7</v>
      </c>
      <c r="M9" s="7" t="s">
        <v>2</v>
      </c>
      <c r="N9" s="23">
        <v>0.15</v>
      </c>
      <c r="O9" s="7" t="s">
        <v>151</v>
      </c>
      <c r="P9" s="13">
        <v>6</v>
      </c>
      <c r="Q9" s="7" t="s">
        <v>156</v>
      </c>
      <c r="S9" s="13">
        <v>5</v>
      </c>
      <c r="T9" s="13" t="s">
        <v>36</v>
      </c>
      <c r="U9" s="6" t="s">
        <v>27</v>
      </c>
      <c r="V9" s="7">
        <v>2</v>
      </c>
      <c r="W9" s="7">
        <v>2.5</v>
      </c>
      <c r="X9" s="8">
        <v>3.5</v>
      </c>
      <c r="Y9" s="6"/>
      <c r="Z9" s="7"/>
      <c r="AA9" s="7"/>
      <c r="AB9" s="8"/>
      <c r="AC9" s="6"/>
      <c r="AD9" s="7"/>
      <c r="AE9" s="7"/>
      <c r="AF9" s="8"/>
      <c r="AG9" s="6"/>
      <c r="AH9" s="7"/>
      <c r="AI9" s="7"/>
      <c r="AJ9" s="8"/>
      <c r="AK9" s="6"/>
      <c r="AL9" s="7"/>
      <c r="AM9" s="7"/>
      <c r="AN9" s="8"/>
      <c r="AO9" s="6"/>
      <c r="AP9" s="7"/>
      <c r="AQ9" s="7"/>
      <c r="AR9" s="8"/>
      <c r="AS9" s="6"/>
      <c r="AT9" s="7"/>
      <c r="AU9" s="7"/>
      <c r="AV9" s="8"/>
      <c r="AW9" s="6"/>
      <c r="AX9" s="7"/>
      <c r="AY9" s="7"/>
      <c r="AZ9" s="8"/>
      <c r="BA9" s="6"/>
      <c r="BB9" s="7"/>
      <c r="BC9" s="7"/>
      <c r="BD9" s="8"/>
      <c r="BE9" s="6"/>
      <c r="BF9" s="7"/>
      <c r="BG9" s="7"/>
      <c r="BH9" s="8"/>
      <c r="BI9" s="6"/>
      <c r="BJ9" s="7"/>
      <c r="BK9" s="7"/>
      <c r="BL9" s="8"/>
      <c r="BM9" s="6"/>
      <c r="BN9" s="7"/>
      <c r="BO9" s="7"/>
      <c r="BP9" s="8"/>
      <c r="BQ9" s="6"/>
      <c r="BR9" s="7"/>
      <c r="BS9" s="7"/>
      <c r="BT9" s="8"/>
      <c r="BU9" s="6"/>
      <c r="BV9" s="7"/>
      <c r="BW9" s="7"/>
      <c r="BX9" s="8"/>
      <c r="BY9" s="6"/>
      <c r="BZ9" s="7"/>
      <c r="CA9" s="7"/>
      <c r="CB9" s="8"/>
      <c r="CC9" s="6" t="s">
        <v>169</v>
      </c>
      <c r="CD9" s="7">
        <v>0</v>
      </c>
      <c r="CE9" s="7">
        <v>0</v>
      </c>
      <c r="CF9" s="8">
        <v>1.6</v>
      </c>
      <c r="CG9" s="6" t="s">
        <v>174</v>
      </c>
      <c r="CH9" s="25">
        <v>0</v>
      </c>
      <c r="CI9" s="25">
        <v>1.1000000000000001</v>
      </c>
      <c r="CJ9" s="8">
        <v>0</v>
      </c>
      <c r="CK9" s="6"/>
      <c r="CL9" s="7"/>
      <c r="CM9" s="7"/>
      <c r="CN9" s="8"/>
      <c r="CO9" s="23" t="s">
        <v>36</v>
      </c>
    </row>
    <row r="10" spans="2:93">
      <c r="B10" s="19" t="s">
        <v>166</v>
      </c>
      <c r="C10" s="32">
        <v>0.5</v>
      </c>
      <c r="L10" s="6">
        <v>8</v>
      </c>
      <c r="M10" s="7" t="s">
        <v>6</v>
      </c>
      <c r="N10" s="13">
        <v>2.5999999999999999E-2</v>
      </c>
      <c r="O10" s="7" t="s">
        <v>7</v>
      </c>
      <c r="P10" s="13">
        <v>2.5</v>
      </c>
      <c r="Q10" s="7" t="s">
        <v>157</v>
      </c>
      <c r="S10" s="13">
        <v>6</v>
      </c>
      <c r="T10" s="13" t="s">
        <v>37</v>
      </c>
      <c r="U10" s="6" t="s">
        <v>28</v>
      </c>
      <c r="V10" s="7">
        <v>2.5</v>
      </c>
      <c r="W10" s="7">
        <v>3.5</v>
      </c>
      <c r="X10" s="8">
        <v>4</v>
      </c>
      <c r="Y10" s="6"/>
      <c r="Z10" s="7"/>
      <c r="AA10" s="7"/>
      <c r="AB10" s="8"/>
      <c r="AC10" s="6"/>
      <c r="AD10" s="7"/>
      <c r="AE10" s="7"/>
      <c r="AF10" s="8"/>
      <c r="AG10" s="6"/>
      <c r="AH10" s="7"/>
      <c r="AI10" s="7"/>
      <c r="AJ10" s="8"/>
      <c r="AK10" s="6"/>
      <c r="AL10" s="7"/>
      <c r="AM10" s="7"/>
      <c r="AN10" s="8"/>
      <c r="AO10" s="6"/>
      <c r="AP10" s="7"/>
      <c r="AQ10" s="7"/>
      <c r="AR10" s="8"/>
      <c r="AS10" s="6"/>
      <c r="AT10" s="7"/>
      <c r="AU10" s="7"/>
      <c r="AV10" s="8"/>
      <c r="AW10" s="6"/>
      <c r="AX10" s="7"/>
      <c r="AY10" s="7"/>
      <c r="AZ10" s="8"/>
      <c r="BA10" s="6"/>
      <c r="BB10" s="7"/>
      <c r="BC10" s="7"/>
      <c r="BD10" s="8"/>
      <c r="BE10" s="6"/>
      <c r="BF10" s="7"/>
      <c r="BG10" s="7"/>
      <c r="BH10" s="8"/>
      <c r="BI10" s="6"/>
      <c r="BJ10" s="7"/>
      <c r="BK10" s="7"/>
      <c r="BL10" s="8"/>
      <c r="BM10" s="6"/>
      <c r="BN10" s="7"/>
      <c r="BO10" s="7"/>
      <c r="BP10" s="8"/>
      <c r="BQ10" s="6"/>
      <c r="BR10" s="7"/>
      <c r="BS10" s="7"/>
      <c r="BT10" s="8"/>
      <c r="BU10" s="6"/>
      <c r="BV10" s="7"/>
      <c r="BW10" s="7"/>
      <c r="BX10" s="8"/>
      <c r="BY10" s="6"/>
      <c r="BZ10" s="7"/>
      <c r="CA10" s="7"/>
      <c r="CB10" s="8"/>
      <c r="CC10" s="6"/>
      <c r="CD10" s="7"/>
      <c r="CE10" s="7"/>
      <c r="CF10" s="8"/>
      <c r="CG10" s="6"/>
      <c r="CH10" s="7"/>
      <c r="CI10" s="7"/>
      <c r="CJ10" s="8"/>
      <c r="CK10" s="6"/>
      <c r="CL10" s="7"/>
      <c r="CM10" s="7"/>
      <c r="CN10" s="8"/>
      <c r="CO10" s="23" t="s">
        <v>37</v>
      </c>
    </row>
    <row r="11" spans="2:93">
      <c r="B11" s="1" t="s">
        <v>232</v>
      </c>
      <c r="C11" s="2">
        <f>+IF(VLOOKUP(C4,H3:J9,2)&gt;E4,"CHECK YOUR CABLE",C9*C10+C9)</f>
        <v>0.83999999999999986</v>
      </c>
      <c r="L11" s="6">
        <v>9</v>
      </c>
      <c r="M11" s="7" t="s">
        <v>160</v>
      </c>
      <c r="N11" s="13">
        <v>0.15</v>
      </c>
      <c r="O11" s="7"/>
      <c r="P11" s="13">
        <v>2.5</v>
      </c>
      <c r="Q11" s="7" t="s">
        <v>158</v>
      </c>
      <c r="S11" s="13">
        <v>7</v>
      </c>
      <c r="T11" s="13" t="s">
        <v>38</v>
      </c>
      <c r="U11" s="6" t="s">
        <v>29</v>
      </c>
      <c r="V11" s="7">
        <v>3</v>
      </c>
      <c r="W11" s="7">
        <v>4</v>
      </c>
      <c r="X11" s="8">
        <v>5</v>
      </c>
      <c r="Y11" s="6" t="s">
        <v>45</v>
      </c>
      <c r="Z11" s="7">
        <v>1.5</v>
      </c>
      <c r="AA11" s="7">
        <v>5.5</v>
      </c>
      <c r="AB11" s="8">
        <v>6.5</v>
      </c>
      <c r="AC11" s="6"/>
      <c r="AD11" s="7"/>
      <c r="AE11" s="7"/>
      <c r="AF11" s="8"/>
      <c r="AG11" s="6" t="s">
        <v>62</v>
      </c>
      <c r="AH11" s="7">
        <v>3</v>
      </c>
      <c r="AI11" s="7">
        <v>4</v>
      </c>
      <c r="AJ11" s="8">
        <v>0</v>
      </c>
      <c r="AK11" s="6"/>
      <c r="AL11" s="7"/>
      <c r="AM11" s="7"/>
      <c r="AN11" s="8"/>
      <c r="AO11" s="6"/>
      <c r="AP11" s="7"/>
      <c r="AQ11" s="7"/>
      <c r="AR11" s="8"/>
      <c r="AS11" s="6"/>
      <c r="AT11" s="7"/>
      <c r="AU11" s="7"/>
      <c r="AV11" s="8"/>
      <c r="AW11" s="6"/>
      <c r="AX11" s="7"/>
      <c r="AY11" s="7"/>
      <c r="AZ11" s="8"/>
      <c r="BA11" s="6"/>
      <c r="BB11" s="7"/>
      <c r="BC11" s="7"/>
      <c r="BD11" s="8"/>
      <c r="BE11" s="6"/>
      <c r="BF11" s="7"/>
      <c r="BG11" s="7"/>
      <c r="BH11" s="8"/>
      <c r="BI11" s="6"/>
      <c r="BJ11" s="7"/>
      <c r="BK11" s="7"/>
      <c r="BL11" s="8"/>
      <c r="BM11" s="6"/>
      <c r="BN11" s="7"/>
      <c r="BO11" s="7"/>
      <c r="BP11" s="8"/>
      <c r="BQ11" s="6"/>
      <c r="BR11" s="7"/>
      <c r="BS11" s="7"/>
      <c r="BT11" s="8"/>
      <c r="BU11" s="6"/>
      <c r="BV11" s="7"/>
      <c r="BW11" s="7"/>
      <c r="BX11" s="8"/>
      <c r="BY11" s="6"/>
      <c r="BZ11" s="7"/>
      <c r="CA11" s="7"/>
      <c r="CB11" s="8"/>
      <c r="CC11" s="6" t="s">
        <v>170</v>
      </c>
      <c r="CD11" s="7">
        <v>0</v>
      </c>
      <c r="CE11" s="7">
        <v>0</v>
      </c>
      <c r="CF11" s="8">
        <v>3</v>
      </c>
      <c r="CG11" s="6" t="s">
        <v>175</v>
      </c>
      <c r="CH11" s="25">
        <v>0</v>
      </c>
      <c r="CI11" s="25">
        <v>1.1000000000000001</v>
      </c>
      <c r="CJ11" s="8">
        <v>0</v>
      </c>
      <c r="CK11" s="6"/>
      <c r="CL11" s="7"/>
      <c r="CM11" s="7"/>
      <c r="CN11" s="8"/>
      <c r="CO11" s="23" t="s">
        <v>38</v>
      </c>
    </row>
    <row r="12" spans="2:93">
      <c r="L12" s="6">
        <v>10</v>
      </c>
      <c r="M12" s="7" t="s">
        <v>9</v>
      </c>
      <c r="N12" s="13">
        <v>0.15</v>
      </c>
      <c r="O12" s="7" t="s">
        <v>10</v>
      </c>
      <c r="P12" s="13">
        <v>2.5</v>
      </c>
      <c r="Q12" s="7" t="s">
        <v>158</v>
      </c>
      <c r="S12" s="13">
        <v>8</v>
      </c>
      <c r="T12" s="13" t="s">
        <v>39</v>
      </c>
      <c r="U12" s="6" t="s">
        <v>30</v>
      </c>
      <c r="V12" s="7">
        <v>4</v>
      </c>
      <c r="W12" s="7">
        <v>5.5</v>
      </c>
      <c r="X12" s="8">
        <v>6</v>
      </c>
      <c r="Y12" s="6" t="s">
        <v>46</v>
      </c>
      <c r="Z12" s="7">
        <v>4</v>
      </c>
      <c r="AA12" s="7">
        <v>7</v>
      </c>
      <c r="AB12" s="8">
        <v>8.5</v>
      </c>
      <c r="AC12" s="6"/>
      <c r="AD12" s="7"/>
      <c r="AE12" s="7"/>
      <c r="AF12" s="8"/>
      <c r="AG12" s="6" t="s">
        <v>63</v>
      </c>
      <c r="AH12" s="7">
        <v>4</v>
      </c>
      <c r="AI12" s="7">
        <v>7</v>
      </c>
      <c r="AJ12" s="8">
        <v>0</v>
      </c>
      <c r="AK12" s="6"/>
      <c r="AL12" s="7"/>
      <c r="AM12" s="7"/>
      <c r="AN12" s="8"/>
      <c r="AO12" s="6"/>
      <c r="AP12" s="7"/>
      <c r="AQ12" s="7"/>
      <c r="AR12" s="8"/>
      <c r="AS12" s="6"/>
      <c r="AT12" s="7"/>
      <c r="AU12" s="7"/>
      <c r="AV12" s="8"/>
      <c r="AW12" s="6"/>
      <c r="AX12" s="7"/>
      <c r="AY12" s="7"/>
      <c r="AZ12" s="8"/>
      <c r="BA12" s="6"/>
      <c r="BB12" s="7"/>
      <c r="BC12" s="7"/>
      <c r="BD12" s="8"/>
      <c r="BE12" s="6" t="s">
        <v>96</v>
      </c>
      <c r="BF12" s="7">
        <v>0</v>
      </c>
      <c r="BG12" s="7">
        <v>2</v>
      </c>
      <c r="BH12" s="8">
        <v>5</v>
      </c>
      <c r="BI12" s="6"/>
      <c r="BJ12" s="7"/>
      <c r="BK12" s="7"/>
      <c r="BL12" s="8"/>
      <c r="BM12" s="6"/>
      <c r="BN12" s="7"/>
      <c r="BO12" s="7"/>
      <c r="BP12" s="8"/>
      <c r="BQ12" s="6"/>
      <c r="BR12" s="7"/>
      <c r="BS12" s="7"/>
      <c r="BT12" s="8"/>
      <c r="BU12" s="6"/>
      <c r="BV12" s="7"/>
      <c r="BW12" s="7"/>
      <c r="BX12" s="8"/>
      <c r="BY12" s="6"/>
      <c r="BZ12" s="7"/>
      <c r="CA12" s="7"/>
      <c r="CB12" s="8"/>
      <c r="CC12" s="6"/>
      <c r="CD12" s="7"/>
      <c r="CE12" s="7"/>
      <c r="CF12" s="8"/>
      <c r="CG12" s="6"/>
      <c r="CH12" s="7"/>
      <c r="CI12" s="7"/>
      <c r="CJ12" s="8"/>
      <c r="CK12" s="6" t="s">
        <v>214</v>
      </c>
      <c r="CL12" s="7">
        <v>0</v>
      </c>
      <c r="CM12" s="7">
        <v>2.5</v>
      </c>
      <c r="CN12" s="8">
        <v>0</v>
      </c>
      <c r="CO12" s="23" t="s">
        <v>39</v>
      </c>
    </row>
    <row r="13" spans="2:93">
      <c r="L13" s="6">
        <v>11</v>
      </c>
      <c r="M13" s="7" t="s">
        <v>11</v>
      </c>
      <c r="N13" s="13">
        <v>6.25E-2</v>
      </c>
      <c r="O13" s="7" t="s">
        <v>12</v>
      </c>
      <c r="P13" s="13">
        <v>2.5</v>
      </c>
      <c r="Q13" s="7" t="s">
        <v>155</v>
      </c>
      <c r="S13" s="13">
        <v>9</v>
      </c>
      <c r="T13" s="13" t="s">
        <v>40</v>
      </c>
      <c r="U13" s="6" t="s">
        <v>31</v>
      </c>
      <c r="V13" s="7">
        <v>5</v>
      </c>
      <c r="W13" s="7">
        <v>6</v>
      </c>
      <c r="X13" s="8">
        <v>7</v>
      </c>
      <c r="Y13" s="6" t="s">
        <v>47</v>
      </c>
      <c r="Z13" s="7">
        <v>6</v>
      </c>
      <c r="AA13" s="7">
        <v>9</v>
      </c>
      <c r="AB13" s="8">
        <v>11</v>
      </c>
      <c r="AC13" s="6" t="s">
        <v>58</v>
      </c>
      <c r="AD13" s="7">
        <v>3</v>
      </c>
      <c r="AE13" s="7">
        <v>4</v>
      </c>
      <c r="AF13" s="8">
        <v>0</v>
      </c>
      <c r="AG13" s="6" t="s">
        <v>64</v>
      </c>
      <c r="AH13" s="7">
        <v>6</v>
      </c>
      <c r="AI13" s="7">
        <v>8</v>
      </c>
      <c r="AJ13" s="8">
        <v>0</v>
      </c>
      <c r="AK13" s="6" t="s">
        <v>68</v>
      </c>
      <c r="AL13" s="7">
        <v>3</v>
      </c>
      <c r="AM13" s="7">
        <v>5</v>
      </c>
      <c r="AN13" s="8">
        <v>0</v>
      </c>
      <c r="AO13" s="6" t="s">
        <v>75</v>
      </c>
      <c r="AP13" s="7">
        <v>2.5</v>
      </c>
      <c r="AQ13" s="7">
        <v>5</v>
      </c>
      <c r="AR13" s="8">
        <v>8</v>
      </c>
      <c r="AS13" s="6"/>
      <c r="AT13" s="7"/>
      <c r="AU13" s="7"/>
      <c r="AV13" s="8"/>
      <c r="AW13" s="6"/>
      <c r="AX13" s="7"/>
      <c r="AY13" s="7"/>
      <c r="AZ13" s="8"/>
      <c r="BA13" s="6"/>
      <c r="BB13" s="7"/>
      <c r="BC13" s="7"/>
      <c r="BD13" s="8"/>
      <c r="BE13" s="6" t="s">
        <v>97</v>
      </c>
      <c r="BF13" s="7">
        <v>1</v>
      </c>
      <c r="BG13" s="7">
        <v>4</v>
      </c>
      <c r="BH13" s="8">
        <v>0</v>
      </c>
      <c r="BI13" s="6"/>
      <c r="BJ13" s="7"/>
      <c r="BK13" s="7"/>
      <c r="BL13" s="8"/>
      <c r="BM13" s="6"/>
      <c r="BN13" s="7"/>
      <c r="BO13" s="7"/>
      <c r="BP13" s="8"/>
      <c r="BQ13" s="6"/>
      <c r="BR13" s="7"/>
      <c r="BS13" s="7"/>
      <c r="BT13" s="8"/>
      <c r="BU13" s="6"/>
      <c r="BV13" s="7"/>
      <c r="BW13" s="7"/>
      <c r="BX13" s="8"/>
      <c r="BY13" s="6"/>
      <c r="BZ13" s="7"/>
      <c r="CA13" s="7"/>
      <c r="CB13" s="8"/>
      <c r="CC13" s="6" t="s">
        <v>171</v>
      </c>
      <c r="CD13" s="7">
        <v>0</v>
      </c>
      <c r="CE13" s="7">
        <v>0</v>
      </c>
      <c r="CF13" s="8">
        <v>5</v>
      </c>
      <c r="CG13" s="6" t="s">
        <v>176</v>
      </c>
      <c r="CH13" s="25">
        <v>0</v>
      </c>
      <c r="CI13" s="25">
        <v>1.1000000000000001</v>
      </c>
      <c r="CJ13" s="8">
        <v>0</v>
      </c>
      <c r="CK13" s="6"/>
      <c r="CL13" s="7"/>
      <c r="CM13" s="7"/>
      <c r="CN13" s="8"/>
      <c r="CO13" s="23" t="s">
        <v>40</v>
      </c>
    </row>
    <row r="14" spans="2:93">
      <c r="B14" s="1" t="s">
        <v>131</v>
      </c>
      <c r="C14" s="29">
        <v>2</v>
      </c>
      <c r="D14" s="33"/>
      <c r="L14" s="6">
        <v>12</v>
      </c>
      <c r="M14" s="7" t="s">
        <v>13</v>
      </c>
      <c r="N14" s="13">
        <v>0.05</v>
      </c>
      <c r="O14" s="7" t="s">
        <v>14</v>
      </c>
      <c r="P14" s="13">
        <v>4</v>
      </c>
      <c r="Q14" s="7" t="s">
        <v>159</v>
      </c>
      <c r="S14" s="13">
        <v>10</v>
      </c>
      <c r="T14" s="13" t="s">
        <v>48</v>
      </c>
      <c r="U14" s="6"/>
      <c r="V14" s="7"/>
      <c r="W14" s="7"/>
      <c r="X14" s="8"/>
      <c r="Y14" s="6" t="s">
        <v>52</v>
      </c>
      <c r="Z14" s="7">
        <v>7.5</v>
      </c>
      <c r="AA14" s="7">
        <v>11</v>
      </c>
      <c r="AB14" s="8">
        <v>14</v>
      </c>
      <c r="AC14" s="6" t="s">
        <v>59</v>
      </c>
      <c r="AD14" s="7">
        <v>4</v>
      </c>
      <c r="AE14" s="7">
        <v>6</v>
      </c>
      <c r="AF14" s="8">
        <v>0</v>
      </c>
      <c r="AG14" s="6" t="s">
        <v>65</v>
      </c>
      <c r="AH14" s="7">
        <v>8</v>
      </c>
      <c r="AI14" s="7">
        <v>10</v>
      </c>
      <c r="AJ14" s="8">
        <v>0</v>
      </c>
      <c r="AK14" s="6" t="s">
        <v>69</v>
      </c>
      <c r="AL14" s="7">
        <v>5</v>
      </c>
      <c r="AM14" s="7">
        <v>8</v>
      </c>
      <c r="AN14" s="8">
        <v>0</v>
      </c>
      <c r="AO14" s="6" t="s">
        <v>78</v>
      </c>
      <c r="AP14" s="7">
        <v>4</v>
      </c>
      <c r="AQ14" s="7">
        <v>8</v>
      </c>
      <c r="AR14" s="8">
        <v>12</v>
      </c>
      <c r="AS14" s="6"/>
      <c r="AT14" s="7"/>
      <c r="AU14" s="7"/>
      <c r="AV14" s="8"/>
      <c r="AW14" s="6"/>
      <c r="AX14" s="7"/>
      <c r="AY14" s="7"/>
      <c r="AZ14" s="8"/>
      <c r="BA14" s="6"/>
      <c r="BB14" s="7"/>
      <c r="BC14" s="7"/>
      <c r="BD14" s="8"/>
      <c r="BE14" s="6" t="s">
        <v>98</v>
      </c>
      <c r="BF14" s="7">
        <v>1.5</v>
      </c>
      <c r="BG14" s="7">
        <v>6</v>
      </c>
      <c r="BH14" s="8">
        <v>0</v>
      </c>
      <c r="BI14" s="6"/>
      <c r="BJ14" s="7"/>
      <c r="BK14" s="7"/>
      <c r="BL14" s="8"/>
      <c r="BM14" s="6"/>
      <c r="BN14" s="7"/>
      <c r="BO14" s="7"/>
      <c r="BP14" s="8"/>
      <c r="BQ14" s="6"/>
      <c r="BR14" s="7"/>
      <c r="BS14" s="7"/>
      <c r="BT14" s="8"/>
      <c r="BU14" s="6"/>
      <c r="BV14" s="7"/>
      <c r="BW14" s="7"/>
      <c r="BX14" s="8"/>
      <c r="BY14" s="6"/>
      <c r="BZ14" s="7"/>
      <c r="CA14" s="7"/>
      <c r="CB14" s="8"/>
      <c r="CC14" s="6"/>
      <c r="CD14" s="7"/>
      <c r="CE14" s="7"/>
      <c r="CF14" s="8"/>
      <c r="CG14" s="6"/>
      <c r="CH14" s="7"/>
      <c r="CI14" s="7"/>
      <c r="CJ14" s="8"/>
      <c r="CK14" s="6" t="s">
        <v>215</v>
      </c>
      <c r="CL14" s="7">
        <v>0</v>
      </c>
      <c r="CM14" s="7">
        <v>2.5</v>
      </c>
      <c r="CN14" s="8">
        <v>0</v>
      </c>
      <c r="CO14" s="23" t="s">
        <v>48</v>
      </c>
    </row>
    <row r="15" spans="2:93">
      <c r="L15" s="6">
        <v>13</v>
      </c>
      <c r="M15" s="7" t="s">
        <v>15</v>
      </c>
      <c r="N15" s="13">
        <v>0.15</v>
      </c>
      <c r="O15" s="7" t="s">
        <v>16</v>
      </c>
      <c r="P15" s="13">
        <v>2.5</v>
      </c>
      <c r="Q15" s="7" t="s">
        <v>228</v>
      </c>
      <c r="S15" s="13">
        <v>11</v>
      </c>
      <c r="T15" s="13" t="s">
        <v>49</v>
      </c>
      <c r="U15" s="6"/>
      <c r="V15" s="7"/>
      <c r="W15" s="7"/>
      <c r="X15" s="8"/>
      <c r="Y15" s="6" t="s">
        <v>53</v>
      </c>
      <c r="Z15" s="7">
        <v>10.5</v>
      </c>
      <c r="AA15" s="7">
        <v>15</v>
      </c>
      <c r="AB15" s="8">
        <v>18</v>
      </c>
      <c r="AC15" s="6" t="s">
        <v>60</v>
      </c>
      <c r="AD15" s="7">
        <v>6</v>
      </c>
      <c r="AE15" s="7">
        <v>8</v>
      </c>
      <c r="AF15" s="8">
        <v>0</v>
      </c>
      <c r="AG15" s="6" t="s">
        <v>66</v>
      </c>
      <c r="AH15" s="7">
        <v>10</v>
      </c>
      <c r="AI15" s="7">
        <v>12</v>
      </c>
      <c r="AJ15" s="8">
        <v>0</v>
      </c>
      <c r="AK15" s="6" t="s">
        <v>70</v>
      </c>
      <c r="AL15" s="7">
        <v>8</v>
      </c>
      <c r="AM15" s="7">
        <v>10</v>
      </c>
      <c r="AN15" s="8">
        <v>0</v>
      </c>
      <c r="AO15" s="6" t="s">
        <v>77</v>
      </c>
      <c r="AP15" s="7">
        <v>8</v>
      </c>
      <c r="AQ15" s="7">
        <v>12</v>
      </c>
      <c r="AR15" s="8">
        <v>15</v>
      </c>
      <c r="AS15" s="6"/>
      <c r="AT15" s="7"/>
      <c r="AU15" s="7"/>
      <c r="AV15" s="8"/>
      <c r="AW15" s="6"/>
      <c r="AX15" s="7"/>
      <c r="AY15" s="7"/>
      <c r="AZ15" s="8"/>
      <c r="BA15" s="6"/>
      <c r="BB15" s="7"/>
      <c r="BC15" s="7"/>
      <c r="BD15" s="8"/>
      <c r="BE15" s="6" t="s">
        <v>99</v>
      </c>
      <c r="BF15" s="7">
        <v>4</v>
      </c>
      <c r="BG15" s="7">
        <v>8</v>
      </c>
      <c r="BH15" s="8">
        <v>0</v>
      </c>
      <c r="BI15" s="6"/>
      <c r="BJ15" s="7"/>
      <c r="BK15" s="7"/>
      <c r="BL15" s="8"/>
      <c r="BM15" s="6"/>
      <c r="BN15" s="7"/>
      <c r="BO15" s="7"/>
      <c r="BP15" s="8"/>
      <c r="BQ15" s="6"/>
      <c r="BR15" s="7"/>
      <c r="BS15" s="7"/>
      <c r="BT15" s="8"/>
      <c r="BU15" s="6"/>
      <c r="BV15" s="7"/>
      <c r="BW15" s="7"/>
      <c r="BX15" s="8"/>
      <c r="BY15" s="6"/>
      <c r="BZ15" s="7"/>
      <c r="CA15" s="7"/>
      <c r="CB15" s="8"/>
      <c r="CC15" s="6" t="s">
        <v>172</v>
      </c>
      <c r="CD15" s="7">
        <v>0</v>
      </c>
      <c r="CE15" s="7">
        <v>0</v>
      </c>
      <c r="CF15" s="8">
        <v>8</v>
      </c>
      <c r="CG15" s="6" t="s">
        <v>177</v>
      </c>
      <c r="CH15" s="25">
        <v>2</v>
      </c>
      <c r="CI15" s="25">
        <v>0</v>
      </c>
      <c r="CJ15" s="8">
        <v>0</v>
      </c>
      <c r="CK15" s="6" t="s">
        <v>216</v>
      </c>
      <c r="CL15" s="7">
        <v>0</v>
      </c>
      <c r="CM15" s="7">
        <v>5</v>
      </c>
      <c r="CN15" s="8">
        <v>0</v>
      </c>
      <c r="CO15" s="23" t="s">
        <v>49</v>
      </c>
    </row>
    <row r="16" spans="2:93">
      <c r="B16" s="1" t="s">
        <v>209</v>
      </c>
      <c r="C16" s="1" t="s">
        <v>165</v>
      </c>
      <c r="D16" s="1" t="s">
        <v>138</v>
      </c>
      <c r="E16" s="19" t="s">
        <v>147</v>
      </c>
      <c r="L16" s="9">
        <v>14</v>
      </c>
      <c r="M16" s="10" t="s">
        <v>17</v>
      </c>
      <c r="N16" s="14">
        <v>0.01</v>
      </c>
      <c r="O16" s="10" t="s">
        <v>18</v>
      </c>
      <c r="P16" s="14">
        <v>2.5</v>
      </c>
      <c r="Q16" s="7" t="s">
        <v>228</v>
      </c>
      <c r="S16" s="13">
        <v>12</v>
      </c>
      <c r="T16" s="13" t="s">
        <v>50</v>
      </c>
      <c r="U16" s="6"/>
      <c r="V16" s="7"/>
      <c r="W16" s="7"/>
      <c r="X16" s="8"/>
      <c r="Y16" s="6" t="s">
        <v>54</v>
      </c>
      <c r="Z16" s="7">
        <v>12</v>
      </c>
      <c r="AA16" s="7">
        <v>18</v>
      </c>
      <c r="AB16" s="8">
        <v>22</v>
      </c>
      <c r="AC16" s="6"/>
      <c r="AD16" s="7"/>
      <c r="AE16" s="7"/>
      <c r="AF16" s="8"/>
      <c r="AG16" s="6"/>
      <c r="AH16" s="7"/>
      <c r="AI16" s="7"/>
      <c r="AJ16" s="8"/>
      <c r="AK16" s="6" t="s">
        <v>71</v>
      </c>
      <c r="AL16" s="7">
        <v>10</v>
      </c>
      <c r="AM16" s="7">
        <v>12</v>
      </c>
      <c r="AN16" s="8">
        <v>0</v>
      </c>
      <c r="AO16" s="6" t="s">
        <v>76</v>
      </c>
      <c r="AP16" s="7">
        <v>10</v>
      </c>
      <c r="AQ16" s="7">
        <v>12</v>
      </c>
      <c r="AR16" s="8">
        <v>15</v>
      </c>
      <c r="AS16" s="6" t="s">
        <v>80</v>
      </c>
      <c r="AT16" s="7">
        <v>4</v>
      </c>
      <c r="AU16" s="7">
        <v>6</v>
      </c>
      <c r="AV16" s="8">
        <v>0</v>
      </c>
      <c r="AW16" s="6" t="s">
        <v>83</v>
      </c>
      <c r="AX16" s="7">
        <v>2</v>
      </c>
      <c r="AY16" s="7">
        <v>4</v>
      </c>
      <c r="AZ16" s="8">
        <v>0</v>
      </c>
      <c r="BA16" s="6"/>
      <c r="BB16" s="7"/>
      <c r="BC16" s="7"/>
      <c r="BD16" s="8"/>
      <c r="BE16" s="6" t="s">
        <v>100</v>
      </c>
      <c r="BF16" s="7">
        <v>8</v>
      </c>
      <c r="BG16" s="7">
        <v>10</v>
      </c>
      <c r="BH16" s="8">
        <v>0</v>
      </c>
      <c r="BI16" s="6"/>
      <c r="BJ16" s="7"/>
      <c r="BK16" s="7"/>
      <c r="BL16" s="8"/>
      <c r="BM16" s="6"/>
      <c r="BN16" s="7"/>
      <c r="BO16" s="7"/>
      <c r="BP16" s="8"/>
      <c r="BQ16" s="6"/>
      <c r="BR16" s="7"/>
      <c r="BS16" s="7"/>
      <c r="BT16" s="8"/>
      <c r="BU16" s="6"/>
      <c r="BV16" s="7"/>
      <c r="BW16" s="7"/>
      <c r="BX16" s="8"/>
      <c r="BY16" s="6"/>
      <c r="BZ16" s="7"/>
      <c r="CA16" s="7"/>
      <c r="CB16" s="8"/>
      <c r="CC16" s="6"/>
      <c r="CD16" s="7"/>
      <c r="CE16" s="7"/>
      <c r="CF16" s="8"/>
      <c r="CG16" s="6"/>
      <c r="CH16" s="7"/>
      <c r="CI16" s="7"/>
      <c r="CJ16" s="8"/>
      <c r="CK16" s="6"/>
      <c r="CL16" s="7"/>
      <c r="CM16" s="7"/>
      <c r="CN16" s="8"/>
      <c r="CO16" s="23" t="s">
        <v>50</v>
      </c>
    </row>
    <row r="17" spans="2:93">
      <c r="B17" s="1" t="s">
        <v>20</v>
      </c>
      <c r="C17" s="18">
        <f>+VLOOKUP(1,$J$36:$Q$43,8,FALSE)</f>
        <v>0</v>
      </c>
      <c r="D17" s="18" t="str">
        <f>+VLOOKUP(1,$J$36:$P$43,4,FALSE)</f>
        <v>NO CT AVAILABLE</v>
      </c>
      <c r="E17" s="2">
        <f>+VLOOKUP(1,$J$36:$P$43,5,FALSE)</f>
        <v>0</v>
      </c>
      <c r="L17" s="7"/>
      <c r="M17" s="7"/>
      <c r="N17" s="7"/>
      <c r="O17" s="7"/>
      <c r="P17" s="7"/>
      <c r="Q17" s="7"/>
      <c r="S17" s="13">
        <v>13</v>
      </c>
      <c r="T17" s="13" t="s">
        <v>51</v>
      </c>
      <c r="U17" s="6"/>
      <c r="V17" s="7"/>
      <c r="W17" s="7"/>
      <c r="X17" s="8"/>
      <c r="Y17" s="6" t="s">
        <v>55</v>
      </c>
      <c r="Z17" s="7">
        <v>14.5</v>
      </c>
      <c r="AA17" s="7">
        <v>21.5</v>
      </c>
      <c r="AB17" s="8">
        <v>26</v>
      </c>
      <c r="AC17" s="6"/>
      <c r="AD17" s="7"/>
      <c r="AE17" s="7"/>
      <c r="AF17" s="8"/>
      <c r="AG17" s="6"/>
      <c r="AH17" s="7"/>
      <c r="AI17" s="7"/>
      <c r="AJ17" s="8"/>
      <c r="AK17" s="6" t="s">
        <v>72</v>
      </c>
      <c r="AL17" s="7">
        <v>12</v>
      </c>
      <c r="AM17" s="7">
        <v>15</v>
      </c>
      <c r="AN17" s="8">
        <v>0</v>
      </c>
      <c r="AO17" s="6"/>
      <c r="AP17" s="7"/>
      <c r="AQ17" s="7"/>
      <c r="AR17" s="8"/>
      <c r="AS17" s="6" t="s">
        <v>81</v>
      </c>
      <c r="AT17" s="7">
        <v>6</v>
      </c>
      <c r="AU17" s="7">
        <v>8</v>
      </c>
      <c r="AV17" s="8">
        <v>0</v>
      </c>
      <c r="AW17" s="6" t="s">
        <v>84</v>
      </c>
      <c r="AX17" s="7">
        <v>4</v>
      </c>
      <c r="AY17" s="7">
        <v>6</v>
      </c>
      <c r="AZ17" s="8">
        <v>0</v>
      </c>
      <c r="BA17" s="6"/>
      <c r="BB17" s="7"/>
      <c r="BC17" s="7"/>
      <c r="BD17" s="8"/>
      <c r="BE17" s="6" t="s">
        <v>101</v>
      </c>
      <c r="BF17" s="7">
        <v>8</v>
      </c>
      <c r="BG17" s="7">
        <v>12</v>
      </c>
      <c r="BH17" s="8">
        <v>0</v>
      </c>
      <c r="BI17" s="6"/>
      <c r="BJ17" s="7"/>
      <c r="BK17" s="7"/>
      <c r="BL17" s="8"/>
      <c r="BM17" s="6"/>
      <c r="BN17" s="7"/>
      <c r="BO17" s="7"/>
      <c r="BP17" s="8"/>
      <c r="BQ17" s="6"/>
      <c r="BR17" s="7"/>
      <c r="BS17" s="7"/>
      <c r="BT17" s="8"/>
      <c r="BU17" s="6"/>
      <c r="BV17" s="7"/>
      <c r="BW17" s="7"/>
      <c r="BX17" s="8"/>
      <c r="BY17" s="6"/>
      <c r="BZ17" s="7"/>
      <c r="CA17" s="7"/>
      <c r="CB17" s="8"/>
      <c r="CC17" s="6" t="s">
        <v>173</v>
      </c>
      <c r="CD17" s="7">
        <v>0</v>
      </c>
      <c r="CE17" s="7">
        <v>0</v>
      </c>
      <c r="CF17" s="8">
        <v>8</v>
      </c>
      <c r="CG17" s="6" t="s">
        <v>178</v>
      </c>
      <c r="CH17" s="25">
        <v>2</v>
      </c>
      <c r="CI17" s="25">
        <v>0</v>
      </c>
      <c r="CJ17" s="8">
        <v>0</v>
      </c>
      <c r="CK17" s="6" t="s">
        <v>217</v>
      </c>
      <c r="CL17" s="7">
        <v>0</v>
      </c>
      <c r="CM17" s="7">
        <v>5</v>
      </c>
      <c r="CN17" s="8">
        <v>0</v>
      </c>
      <c r="CO17" s="23" t="s">
        <v>51</v>
      </c>
    </row>
    <row r="18" spans="2:93">
      <c r="B18" s="1" t="s">
        <v>21</v>
      </c>
      <c r="C18" s="18">
        <f>+VLOOKUP(1,$K$36:$Q$43,7,FALSE)</f>
        <v>21</v>
      </c>
      <c r="D18" s="18" t="str">
        <f>+VLOOKUP(1,$K$36:$P$43,3,FALSE)</f>
        <v>METSECT5CC005</v>
      </c>
      <c r="E18" s="2">
        <f>+VLOOKUP(1,$K$36:$P$43,5,FALSE)</f>
        <v>1.25</v>
      </c>
      <c r="L18" s="7"/>
      <c r="M18" s="7"/>
      <c r="N18" s="7"/>
      <c r="O18" s="7"/>
      <c r="P18" s="7"/>
      <c r="Q18" s="7"/>
      <c r="S18" s="13">
        <v>14</v>
      </c>
      <c r="T18" s="13" t="s">
        <v>74</v>
      </c>
      <c r="U18" s="6"/>
      <c r="V18" s="7"/>
      <c r="W18" s="7"/>
      <c r="X18" s="8"/>
      <c r="Y18" s="6"/>
      <c r="Z18" s="7"/>
      <c r="AA18" s="7"/>
      <c r="AB18" s="8"/>
      <c r="AC18" s="6"/>
      <c r="AD18" s="7"/>
      <c r="AE18" s="7"/>
      <c r="AF18" s="8"/>
      <c r="AG18" s="6"/>
      <c r="AH18" s="7"/>
      <c r="AI18" s="7"/>
      <c r="AJ18" s="8"/>
      <c r="AK18" s="6" t="s">
        <v>73</v>
      </c>
      <c r="AL18" s="7">
        <v>10</v>
      </c>
      <c r="AM18" s="7">
        <v>12</v>
      </c>
      <c r="AN18" s="8">
        <v>0</v>
      </c>
      <c r="AO18" s="6"/>
      <c r="AP18" s="7"/>
      <c r="AQ18" s="7"/>
      <c r="AR18" s="8"/>
      <c r="AS18" s="6" t="s">
        <v>82</v>
      </c>
      <c r="AT18" s="7">
        <v>8</v>
      </c>
      <c r="AU18" s="7">
        <v>12</v>
      </c>
      <c r="AV18" s="8">
        <v>0</v>
      </c>
      <c r="AW18" s="6"/>
      <c r="AX18" s="7"/>
      <c r="AY18" s="7"/>
      <c r="AZ18" s="8"/>
      <c r="BA18" s="6"/>
      <c r="BB18" s="7"/>
      <c r="BC18" s="7"/>
      <c r="BD18" s="8"/>
      <c r="BE18" s="6" t="s">
        <v>102</v>
      </c>
      <c r="BF18" s="7">
        <v>12</v>
      </c>
      <c r="BG18" s="7">
        <v>15</v>
      </c>
      <c r="BH18" s="8">
        <v>0</v>
      </c>
      <c r="BI18" s="6"/>
      <c r="BJ18" s="7"/>
      <c r="BK18" s="7"/>
      <c r="BL18" s="8"/>
      <c r="BM18" s="6"/>
      <c r="BN18" s="7"/>
      <c r="BO18" s="7"/>
      <c r="BP18" s="8"/>
      <c r="BQ18" s="6"/>
      <c r="BR18" s="7"/>
      <c r="BS18" s="7"/>
      <c r="BT18" s="8"/>
      <c r="BU18" s="6"/>
      <c r="BV18" s="7"/>
      <c r="BW18" s="7"/>
      <c r="BX18" s="8"/>
      <c r="BY18" s="6"/>
      <c r="BZ18" s="7"/>
      <c r="CA18" s="7"/>
      <c r="CB18" s="8"/>
      <c r="CC18" s="6"/>
      <c r="CD18" s="7"/>
      <c r="CE18" s="7"/>
      <c r="CF18" s="8"/>
      <c r="CG18" s="6"/>
      <c r="CH18" s="7"/>
      <c r="CI18" s="7"/>
      <c r="CJ18" s="8"/>
      <c r="CK18" s="6" t="s">
        <v>218</v>
      </c>
      <c r="CL18" s="7">
        <v>0</v>
      </c>
      <c r="CM18" s="7">
        <v>12.5</v>
      </c>
      <c r="CN18" s="8">
        <v>0</v>
      </c>
      <c r="CO18" s="23" t="s">
        <v>74</v>
      </c>
    </row>
    <row r="19" spans="2:93">
      <c r="B19" s="1" t="s">
        <v>22</v>
      </c>
      <c r="C19" s="18">
        <f>+VLOOKUP(1,$L$36:$Q$43,6,FALSE)</f>
        <v>21</v>
      </c>
      <c r="D19" s="18" t="str">
        <f>+VLOOKUP(1,$L$36:$P$43,2,FALSE)</f>
        <v>METSECT5CC005</v>
      </c>
      <c r="E19" s="2">
        <f>+VLOOKUP(1,$L$36:$P$43,5,FALSE)</f>
        <v>1.5</v>
      </c>
      <c r="S19" s="13">
        <v>15</v>
      </c>
      <c r="T19" s="13" t="s">
        <v>86</v>
      </c>
      <c r="U19" s="6"/>
      <c r="V19" s="7"/>
      <c r="W19" s="7"/>
      <c r="X19" s="8"/>
      <c r="Y19" s="6"/>
      <c r="Z19" s="7"/>
      <c r="AA19" s="7"/>
      <c r="AB19" s="8"/>
      <c r="AC19" s="6"/>
      <c r="AD19" s="7"/>
      <c r="AE19" s="7"/>
      <c r="AF19" s="8"/>
      <c r="AG19" s="6"/>
      <c r="AH19" s="7"/>
      <c r="AI19" s="7"/>
      <c r="AJ19" s="8"/>
      <c r="AK19" s="6"/>
      <c r="AL19" s="7"/>
      <c r="AM19" s="7"/>
      <c r="AN19" s="8"/>
      <c r="AO19" s="6"/>
      <c r="AP19" s="7"/>
      <c r="AQ19" s="7"/>
      <c r="AR19" s="8"/>
      <c r="AS19" s="6"/>
      <c r="AT19" s="7"/>
      <c r="AU19" s="7"/>
      <c r="AV19" s="8"/>
      <c r="AW19" s="6"/>
      <c r="AX19" s="7"/>
      <c r="AY19" s="7"/>
      <c r="AZ19" s="8"/>
      <c r="BA19" s="6"/>
      <c r="BB19" s="7"/>
      <c r="BC19" s="7"/>
      <c r="BD19" s="8"/>
      <c r="BE19" s="6" t="s">
        <v>103</v>
      </c>
      <c r="BF19" s="7">
        <v>15</v>
      </c>
      <c r="BG19" s="7">
        <v>20</v>
      </c>
      <c r="BH19" s="8">
        <v>0</v>
      </c>
      <c r="BI19" s="6" t="s">
        <v>106</v>
      </c>
      <c r="BJ19" s="7">
        <v>6</v>
      </c>
      <c r="BK19" s="7">
        <v>10</v>
      </c>
      <c r="BL19" s="8">
        <v>0</v>
      </c>
      <c r="BM19" s="6"/>
      <c r="BN19" s="7"/>
      <c r="BO19" s="7"/>
      <c r="BP19" s="8"/>
      <c r="BQ19" s="6" t="s">
        <v>119</v>
      </c>
      <c r="BR19" s="7">
        <v>10</v>
      </c>
      <c r="BS19" s="7">
        <v>15</v>
      </c>
      <c r="BT19" s="8">
        <v>0</v>
      </c>
      <c r="BU19" s="6" t="s">
        <v>122</v>
      </c>
      <c r="BV19" s="7">
        <v>12</v>
      </c>
      <c r="BW19" s="7">
        <v>15</v>
      </c>
      <c r="BX19" s="8">
        <v>0</v>
      </c>
      <c r="BY19" s="6"/>
      <c r="BZ19" s="7"/>
      <c r="CA19" s="7"/>
      <c r="CB19" s="8"/>
      <c r="CC19" s="6"/>
      <c r="CD19" s="7"/>
      <c r="CE19" s="7"/>
      <c r="CF19" s="8"/>
      <c r="CG19" s="6"/>
      <c r="CH19" s="7"/>
      <c r="CI19" s="7"/>
      <c r="CJ19" s="8"/>
      <c r="CK19" s="6"/>
      <c r="CL19" s="7"/>
      <c r="CM19" s="7"/>
      <c r="CN19" s="8"/>
      <c r="CO19" s="23" t="s">
        <v>86</v>
      </c>
    </row>
    <row r="20" spans="2:93">
      <c r="B20" s="7"/>
      <c r="C20" s="26"/>
      <c r="D20" s="26"/>
      <c r="E20" s="25"/>
      <c r="S20" s="13">
        <v>16</v>
      </c>
      <c r="T20" s="13" t="s">
        <v>223</v>
      </c>
      <c r="U20" s="6"/>
      <c r="V20" s="7"/>
      <c r="W20" s="7"/>
      <c r="X20" s="8"/>
      <c r="Y20" s="6"/>
      <c r="Z20" s="7"/>
      <c r="AA20" s="7"/>
      <c r="AB20" s="8"/>
      <c r="AC20" s="6"/>
      <c r="AD20" s="7"/>
      <c r="AE20" s="7"/>
      <c r="AF20" s="8"/>
      <c r="AG20" s="6"/>
      <c r="AH20" s="7"/>
      <c r="AI20" s="7"/>
      <c r="AJ20" s="8"/>
      <c r="AK20" s="6"/>
      <c r="AL20" s="7"/>
      <c r="AM20" s="7"/>
      <c r="AN20" s="8"/>
      <c r="AO20" s="6"/>
      <c r="AP20" s="7"/>
      <c r="AQ20" s="7"/>
      <c r="AR20" s="8"/>
      <c r="AS20" s="6"/>
      <c r="AT20" s="7"/>
      <c r="AU20" s="7"/>
      <c r="AV20" s="8"/>
      <c r="AW20" s="6"/>
      <c r="AX20" s="7"/>
      <c r="AY20" s="7"/>
      <c r="AZ20" s="8"/>
      <c r="BA20" s="6"/>
      <c r="BB20" s="7"/>
      <c r="BC20" s="7"/>
      <c r="BD20" s="8"/>
      <c r="BE20" s="6"/>
      <c r="BF20" s="7"/>
      <c r="BG20" s="7"/>
      <c r="BH20" s="8"/>
      <c r="BI20" s="6"/>
      <c r="BJ20" s="7"/>
      <c r="BK20" s="7"/>
      <c r="BL20" s="8"/>
      <c r="BM20" s="6"/>
      <c r="BN20" s="7"/>
      <c r="BO20" s="7"/>
      <c r="BP20" s="8"/>
      <c r="BQ20" s="6"/>
      <c r="BR20" s="7"/>
      <c r="BS20" s="7"/>
      <c r="BT20" s="8"/>
      <c r="BU20" s="6"/>
      <c r="BV20" s="7"/>
      <c r="BW20" s="7"/>
      <c r="BX20" s="8"/>
      <c r="BY20" s="6"/>
      <c r="BZ20" s="7"/>
      <c r="CA20" s="7"/>
      <c r="CB20" s="8"/>
      <c r="CC20" s="6"/>
      <c r="CD20" s="7"/>
      <c r="CE20" s="7"/>
      <c r="CF20" s="8"/>
      <c r="CG20" s="6"/>
      <c r="CH20" s="7"/>
      <c r="CI20" s="7"/>
      <c r="CJ20" s="8"/>
      <c r="CK20" s="6" t="s">
        <v>219</v>
      </c>
      <c r="CL20" s="7">
        <v>0</v>
      </c>
      <c r="CM20" s="7">
        <v>22.5</v>
      </c>
      <c r="CN20" s="8">
        <v>0</v>
      </c>
      <c r="CO20" s="23" t="s">
        <v>223</v>
      </c>
    </row>
    <row r="21" spans="2:93">
      <c r="S21" s="13">
        <v>17</v>
      </c>
      <c r="T21" s="13" t="s">
        <v>87</v>
      </c>
      <c r="U21" s="6"/>
      <c r="V21" s="7"/>
      <c r="W21" s="7"/>
      <c r="X21" s="8"/>
      <c r="Y21" s="6"/>
      <c r="Z21" s="7"/>
      <c r="AA21" s="7"/>
      <c r="AB21" s="8"/>
      <c r="AC21" s="6"/>
      <c r="AD21" s="7"/>
      <c r="AE21" s="7"/>
      <c r="AF21" s="8"/>
      <c r="AG21" s="6"/>
      <c r="AH21" s="7"/>
      <c r="AI21" s="7"/>
      <c r="AJ21" s="8"/>
      <c r="AK21" s="6"/>
      <c r="AL21" s="7"/>
      <c r="AM21" s="7"/>
      <c r="AN21" s="8"/>
      <c r="AO21" s="6"/>
      <c r="AP21" s="7"/>
      <c r="AQ21" s="7"/>
      <c r="AR21" s="8"/>
      <c r="AS21" s="6"/>
      <c r="AT21" s="7"/>
      <c r="AU21" s="7"/>
      <c r="AV21" s="8"/>
      <c r="AW21" s="6"/>
      <c r="AX21" s="7"/>
      <c r="AY21" s="7"/>
      <c r="AZ21" s="8"/>
      <c r="BA21" s="6"/>
      <c r="BB21" s="7"/>
      <c r="BC21" s="7"/>
      <c r="BD21" s="8"/>
      <c r="BE21" s="6" t="s">
        <v>104</v>
      </c>
      <c r="BF21" s="7">
        <v>15</v>
      </c>
      <c r="BG21" s="7">
        <v>20</v>
      </c>
      <c r="BH21" s="8">
        <v>0</v>
      </c>
      <c r="BI21" s="6" t="s">
        <v>107</v>
      </c>
      <c r="BJ21" s="7">
        <v>8</v>
      </c>
      <c r="BK21" s="7">
        <v>12</v>
      </c>
      <c r="BL21" s="8">
        <v>0</v>
      </c>
      <c r="BM21" s="6"/>
      <c r="BN21" s="7"/>
      <c r="BO21" s="7"/>
      <c r="BP21" s="8"/>
      <c r="BQ21" s="6" t="s">
        <v>120</v>
      </c>
      <c r="BR21" s="7">
        <v>12</v>
      </c>
      <c r="BS21" s="7">
        <v>15</v>
      </c>
      <c r="BT21" s="8">
        <v>0</v>
      </c>
      <c r="BU21" s="6" t="s">
        <v>123</v>
      </c>
      <c r="BV21" s="7">
        <v>15</v>
      </c>
      <c r="BW21" s="7">
        <v>20</v>
      </c>
      <c r="BX21" s="8">
        <v>0</v>
      </c>
      <c r="BY21" s="6" t="s">
        <v>128</v>
      </c>
      <c r="BZ21" s="7">
        <v>12</v>
      </c>
      <c r="CA21" s="7">
        <v>15</v>
      </c>
      <c r="CB21" s="8">
        <v>0</v>
      </c>
      <c r="CC21" s="6"/>
      <c r="CD21" s="7"/>
      <c r="CE21" s="7"/>
      <c r="CF21" s="8"/>
      <c r="CG21" s="6"/>
      <c r="CH21" s="7"/>
      <c r="CI21" s="7"/>
      <c r="CJ21" s="8"/>
      <c r="CK21" s="6"/>
      <c r="CL21" s="7"/>
      <c r="CM21" s="7"/>
      <c r="CN21" s="8"/>
      <c r="CO21" s="23" t="s">
        <v>87</v>
      </c>
    </row>
    <row r="22" spans="2:93">
      <c r="B22" s="1" t="s">
        <v>208</v>
      </c>
      <c r="C22" s="1" t="s">
        <v>207</v>
      </c>
      <c r="D22" s="1" t="s">
        <v>138</v>
      </c>
      <c r="E22" s="19" t="s">
        <v>147</v>
      </c>
      <c r="S22" s="13">
        <v>18</v>
      </c>
      <c r="T22" s="13" t="s">
        <v>88</v>
      </c>
      <c r="U22" s="6"/>
      <c r="V22" s="7"/>
      <c r="W22" s="7"/>
      <c r="X22" s="8"/>
      <c r="Y22" s="6"/>
      <c r="Z22" s="7"/>
      <c r="AA22" s="7"/>
      <c r="AB22" s="8"/>
      <c r="AC22" s="6"/>
      <c r="AD22" s="7"/>
      <c r="AE22" s="7"/>
      <c r="AF22" s="8"/>
      <c r="AG22" s="6"/>
      <c r="AH22" s="7"/>
      <c r="AI22" s="7"/>
      <c r="AJ22" s="8"/>
      <c r="AK22" s="6"/>
      <c r="AL22" s="7"/>
      <c r="AM22" s="7"/>
      <c r="AN22" s="8"/>
      <c r="AO22" s="6"/>
      <c r="AP22" s="7"/>
      <c r="AQ22" s="7"/>
      <c r="AR22" s="8"/>
      <c r="AS22" s="6"/>
      <c r="AT22" s="7"/>
      <c r="AU22" s="7"/>
      <c r="AV22" s="8"/>
      <c r="AW22" s="6"/>
      <c r="AX22" s="7"/>
      <c r="AY22" s="7"/>
      <c r="AZ22" s="8"/>
      <c r="BA22" s="6"/>
      <c r="BB22" s="7"/>
      <c r="BC22" s="7"/>
      <c r="BD22" s="8"/>
      <c r="BE22" s="6" t="s">
        <v>105</v>
      </c>
      <c r="BF22" s="7">
        <v>20</v>
      </c>
      <c r="BG22" s="7">
        <v>25</v>
      </c>
      <c r="BH22" s="8">
        <v>0</v>
      </c>
      <c r="BI22" s="6" t="s">
        <v>108</v>
      </c>
      <c r="BJ22" s="7">
        <v>10</v>
      </c>
      <c r="BK22" s="7">
        <v>15</v>
      </c>
      <c r="BL22" s="8">
        <v>0</v>
      </c>
      <c r="BM22" s="6"/>
      <c r="BN22" s="7"/>
      <c r="BO22" s="7"/>
      <c r="BP22" s="8"/>
      <c r="BQ22" s="6" t="s">
        <v>121</v>
      </c>
      <c r="BR22" s="7">
        <v>15</v>
      </c>
      <c r="BS22" s="7">
        <v>20</v>
      </c>
      <c r="BT22" s="8">
        <v>0</v>
      </c>
      <c r="BU22" s="6" t="s">
        <v>124</v>
      </c>
      <c r="BV22" s="7">
        <v>20</v>
      </c>
      <c r="BW22" s="7">
        <v>25</v>
      </c>
      <c r="BX22" s="8">
        <v>0</v>
      </c>
      <c r="BY22" s="6" t="s">
        <v>129</v>
      </c>
      <c r="BZ22" s="7">
        <v>12</v>
      </c>
      <c r="CA22" s="7">
        <v>15</v>
      </c>
      <c r="CB22" s="8">
        <v>0</v>
      </c>
      <c r="CC22" s="6"/>
      <c r="CD22" s="7"/>
      <c r="CE22" s="7"/>
      <c r="CF22" s="8"/>
      <c r="CG22" s="6"/>
      <c r="CH22" s="7"/>
      <c r="CI22" s="7"/>
      <c r="CJ22" s="8"/>
      <c r="CK22" s="6"/>
      <c r="CL22" s="7"/>
      <c r="CM22" s="7"/>
      <c r="CN22" s="8"/>
      <c r="CO22" s="23" t="s">
        <v>88</v>
      </c>
    </row>
    <row r="23" spans="2:93">
      <c r="B23" s="1"/>
      <c r="C23" s="1"/>
      <c r="D23" s="1"/>
      <c r="E23" s="19"/>
      <c r="S23" s="13">
        <v>19</v>
      </c>
      <c r="T23" s="13" t="s">
        <v>224</v>
      </c>
      <c r="U23" s="6"/>
      <c r="V23" s="7"/>
      <c r="W23" s="7"/>
      <c r="X23" s="8"/>
      <c r="Y23" s="6"/>
      <c r="Z23" s="7"/>
      <c r="AA23" s="7"/>
      <c r="AB23" s="8"/>
      <c r="AC23" s="6"/>
      <c r="AD23" s="7"/>
      <c r="AE23" s="7"/>
      <c r="AF23" s="8"/>
      <c r="AG23" s="6"/>
      <c r="AH23" s="7"/>
      <c r="AI23" s="7"/>
      <c r="AJ23" s="8"/>
      <c r="AK23" s="6"/>
      <c r="AL23" s="7"/>
      <c r="AM23" s="7"/>
      <c r="AN23" s="8"/>
      <c r="AO23" s="6"/>
      <c r="AP23" s="7"/>
      <c r="AQ23" s="7"/>
      <c r="AR23" s="8"/>
      <c r="AS23" s="6"/>
      <c r="AT23" s="7"/>
      <c r="AU23" s="7"/>
      <c r="AV23" s="8"/>
      <c r="AW23" s="6"/>
      <c r="AX23" s="7"/>
      <c r="AY23" s="7"/>
      <c r="AZ23" s="8"/>
      <c r="BA23" s="6"/>
      <c r="BB23" s="7"/>
      <c r="BC23" s="7"/>
      <c r="BD23" s="8"/>
      <c r="BE23" s="6"/>
      <c r="BF23" s="7"/>
      <c r="BG23" s="7"/>
      <c r="BH23" s="8"/>
      <c r="BI23" s="6"/>
      <c r="BJ23" s="7"/>
      <c r="BK23" s="7"/>
      <c r="BL23" s="8"/>
      <c r="BM23" s="6"/>
      <c r="BN23" s="7"/>
      <c r="BO23" s="7"/>
      <c r="BP23" s="8"/>
      <c r="BQ23" s="6"/>
      <c r="BR23" s="7"/>
      <c r="BS23" s="7"/>
      <c r="BT23" s="8"/>
      <c r="BU23" s="6"/>
      <c r="BV23" s="7"/>
      <c r="BW23" s="7"/>
      <c r="BX23" s="8"/>
      <c r="BY23" s="6"/>
      <c r="BZ23" s="7"/>
      <c r="CA23" s="7"/>
      <c r="CB23" s="8"/>
      <c r="CC23" s="6"/>
      <c r="CD23" s="7"/>
      <c r="CE23" s="7"/>
      <c r="CF23" s="8"/>
      <c r="CG23" s="6"/>
      <c r="CH23" s="7"/>
      <c r="CI23" s="7"/>
      <c r="CJ23" s="8"/>
      <c r="CK23" s="6" t="s">
        <v>220</v>
      </c>
      <c r="CL23" s="7">
        <v>0</v>
      </c>
      <c r="CM23" s="7">
        <v>45</v>
      </c>
      <c r="CN23" s="8">
        <v>0</v>
      </c>
      <c r="CO23" s="23" t="s">
        <v>224</v>
      </c>
    </row>
    <row r="24" spans="2:93">
      <c r="B24" s="1" t="s">
        <v>20</v>
      </c>
      <c r="C24" s="18">
        <f>+VLOOKUP(1,$J$48:$Q$62,8,FALSE)</f>
        <v>0</v>
      </c>
      <c r="D24" s="18" t="str">
        <f>+VLOOKUP(1,$J$48:$P$62,4,FALSE)</f>
        <v>NO CT AVAILABLE</v>
      </c>
      <c r="E24" s="2">
        <f>+VLOOKUP(1,$J$48:$P$62,5,FALSE)</f>
        <v>0</v>
      </c>
      <c r="S24" s="13">
        <v>20</v>
      </c>
      <c r="T24" s="13" t="s">
        <v>89</v>
      </c>
      <c r="U24" s="6"/>
      <c r="V24" s="7"/>
      <c r="W24" s="7"/>
      <c r="X24" s="8"/>
      <c r="Y24" s="6"/>
      <c r="Z24" s="7"/>
      <c r="AA24" s="7"/>
      <c r="AB24" s="8"/>
      <c r="AC24" s="6"/>
      <c r="AD24" s="7"/>
      <c r="AE24" s="7"/>
      <c r="AF24" s="8"/>
      <c r="AG24" s="6"/>
      <c r="AH24" s="7"/>
      <c r="AI24" s="7"/>
      <c r="AJ24" s="8"/>
      <c r="AK24" s="6"/>
      <c r="AL24" s="7"/>
      <c r="AM24" s="7"/>
      <c r="AN24" s="8"/>
      <c r="AO24" s="6"/>
      <c r="AP24" s="7"/>
      <c r="AQ24" s="7"/>
      <c r="AR24" s="8"/>
      <c r="AS24" s="6"/>
      <c r="AT24" s="7"/>
      <c r="AU24" s="7"/>
      <c r="AV24" s="8"/>
      <c r="AW24" s="6"/>
      <c r="AX24" s="7"/>
      <c r="AY24" s="7"/>
      <c r="AZ24" s="8"/>
      <c r="BA24" s="6"/>
      <c r="BB24" s="7"/>
      <c r="BC24" s="7"/>
      <c r="BD24" s="8"/>
      <c r="BE24" s="6"/>
      <c r="BF24" s="7"/>
      <c r="BG24" s="7"/>
      <c r="BH24" s="8"/>
      <c r="BI24" s="6" t="s">
        <v>109</v>
      </c>
      <c r="BJ24" s="7">
        <v>15</v>
      </c>
      <c r="BK24" s="7">
        <v>20</v>
      </c>
      <c r="BL24" s="8">
        <v>0</v>
      </c>
      <c r="BM24" s="6" t="s">
        <v>114</v>
      </c>
      <c r="BN24" s="7">
        <v>25</v>
      </c>
      <c r="BO24" s="7">
        <v>30</v>
      </c>
      <c r="BP24" s="8">
        <v>0</v>
      </c>
      <c r="BQ24" s="6"/>
      <c r="BR24" s="7"/>
      <c r="BS24" s="7"/>
      <c r="BT24" s="8"/>
      <c r="BU24" s="6" t="s">
        <v>125</v>
      </c>
      <c r="BV24" s="7">
        <v>20</v>
      </c>
      <c r="BW24" s="7">
        <v>25</v>
      </c>
      <c r="BX24" s="8">
        <v>0</v>
      </c>
      <c r="BY24" s="6" t="s">
        <v>130</v>
      </c>
      <c r="BZ24" s="7">
        <v>20</v>
      </c>
      <c r="CA24" s="7">
        <v>25</v>
      </c>
      <c r="CB24" s="8">
        <v>0</v>
      </c>
      <c r="CC24" s="6"/>
      <c r="CD24" s="7"/>
      <c r="CE24" s="7"/>
      <c r="CF24" s="8"/>
      <c r="CG24" s="6"/>
      <c r="CH24" s="7"/>
      <c r="CI24" s="7"/>
      <c r="CJ24" s="8"/>
      <c r="CK24" s="6"/>
      <c r="CL24" s="7"/>
      <c r="CM24" s="7"/>
      <c r="CN24" s="8"/>
      <c r="CO24" s="23" t="s">
        <v>89</v>
      </c>
    </row>
    <row r="25" spans="2:93">
      <c r="B25" s="1" t="s">
        <v>21</v>
      </c>
      <c r="C25" s="18">
        <f>+VLOOKUP(1,$K$48:$Q$62,7,FALSE)</f>
        <v>0</v>
      </c>
      <c r="D25" s="18" t="str">
        <f>+VLOOKUP(1,$K$48:$P$62,3,FALSE)</f>
        <v>NO CT AVAILABLE</v>
      </c>
      <c r="E25" s="2">
        <f>+VLOOKUP(1,$K$48:$P$62,5,FALSE)</f>
        <v>0</v>
      </c>
      <c r="S25" s="13">
        <v>21</v>
      </c>
      <c r="T25" s="13" t="s">
        <v>225</v>
      </c>
      <c r="U25" s="6"/>
      <c r="V25" s="7"/>
      <c r="W25" s="7"/>
      <c r="X25" s="8"/>
      <c r="Y25" s="6"/>
      <c r="Z25" s="7"/>
      <c r="AA25" s="7"/>
      <c r="AB25" s="8"/>
      <c r="AC25" s="6"/>
      <c r="AD25" s="7"/>
      <c r="AE25" s="7"/>
      <c r="AF25" s="8"/>
      <c r="AG25" s="6"/>
      <c r="AH25" s="7"/>
      <c r="AI25" s="7"/>
      <c r="AJ25" s="8"/>
      <c r="AK25" s="6"/>
      <c r="AL25" s="7"/>
      <c r="AM25" s="7"/>
      <c r="AN25" s="8"/>
      <c r="AO25" s="6"/>
      <c r="AP25" s="7"/>
      <c r="AQ25" s="7"/>
      <c r="AR25" s="8"/>
      <c r="AS25" s="6"/>
      <c r="AT25" s="7"/>
      <c r="AU25" s="7"/>
      <c r="AV25" s="8"/>
      <c r="AW25" s="6"/>
      <c r="AX25" s="7"/>
      <c r="AY25" s="7"/>
      <c r="AZ25" s="8"/>
      <c r="BA25" s="6"/>
      <c r="BB25" s="7"/>
      <c r="BC25" s="7"/>
      <c r="BD25" s="8"/>
      <c r="BE25" s="6"/>
      <c r="BF25" s="7"/>
      <c r="BG25" s="7"/>
      <c r="BH25" s="8"/>
      <c r="BI25" s="6"/>
      <c r="BJ25" s="7"/>
      <c r="BK25" s="7"/>
      <c r="BL25" s="8"/>
      <c r="BM25" s="6"/>
      <c r="BN25" s="7"/>
      <c r="BO25" s="7"/>
      <c r="BP25" s="8"/>
      <c r="BQ25" s="6"/>
      <c r="BR25" s="7"/>
      <c r="BS25" s="7"/>
      <c r="BT25" s="8"/>
      <c r="BU25" s="6"/>
      <c r="BV25" s="7"/>
      <c r="BW25" s="7"/>
      <c r="BX25" s="8"/>
      <c r="BY25" s="6"/>
      <c r="BZ25" s="7"/>
      <c r="CA25" s="7"/>
      <c r="CB25" s="8"/>
      <c r="CC25" s="6"/>
      <c r="CD25" s="7"/>
      <c r="CE25" s="7"/>
      <c r="CF25" s="8"/>
      <c r="CG25" s="6"/>
      <c r="CH25" s="7"/>
      <c r="CI25" s="7"/>
      <c r="CJ25" s="8"/>
      <c r="CK25" s="6" t="s">
        <v>222</v>
      </c>
      <c r="CL25" s="7">
        <v>0</v>
      </c>
      <c r="CM25" s="7">
        <v>45</v>
      </c>
      <c r="CN25" s="8">
        <v>0</v>
      </c>
      <c r="CO25" s="23" t="s">
        <v>225</v>
      </c>
    </row>
    <row r="26" spans="2:93">
      <c r="B26" s="1" t="s">
        <v>22</v>
      </c>
      <c r="C26" s="18">
        <f>+VLOOKUP(1,$L$48:$Q$62,6,FALSE)</f>
        <v>0</v>
      </c>
      <c r="D26" s="18" t="str">
        <f>+VLOOKUP(1,$L$48:$P$62,2,FALSE)</f>
        <v>NO CT AVAILABLE</v>
      </c>
      <c r="E26" s="2">
        <f>+VLOOKUP(1,$L$48:$P$62,5,FALSE)</f>
        <v>0</v>
      </c>
      <c r="S26" s="13">
        <v>22</v>
      </c>
      <c r="T26" s="13" t="s">
        <v>90</v>
      </c>
      <c r="U26" s="6"/>
      <c r="V26" s="7"/>
      <c r="W26" s="7"/>
      <c r="X26" s="8"/>
      <c r="Y26" s="6"/>
      <c r="Z26" s="7"/>
      <c r="AA26" s="7"/>
      <c r="AB26" s="8"/>
      <c r="AC26" s="6"/>
      <c r="AD26" s="7"/>
      <c r="AE26" s="7"/>
      <c r="AF26" s="8"/>
      <c r="AG26" s="6"/>
      <c r="AH26" s="7"/>
      <c r="AI26" s="7"/>
      <c r="AJ26" s="8"/>
      <c r="AK26" s="6"/>
      <c r="AL26" s="7"/>
      <c r="AM26" s="7"/>
      <c r="AN26" s="8"/>
      <c r="AO26" s="6"/>
      <c r="AP26" s="7"/>
      <c r="AQ26" s="7"/>
      <c r="AR26" s="8"/>
      <c r="AS26" s="6"/>
      <c r="AT26" s="7"/>
      <c r="AU26" s="7"/>
      <c r="AV26" s="8"/>
      <c r="AW26" s="6"/>
      <c r="AX26" s="7"/>
      <c r="AY26" s="7"/>
      <c r="AZ26" s="8"/>
      <c r="BA26" s="6"/>
      <c r="BB26" s="7"/>
      <c r="BC26" s="7"/>
      <c r="BD26" s="8"/>
      <c r="BE26" s="6"/>
      <c r="BF26" s="7"/>
      <c r="BG26" s="7"/>
      <c r="BH26" s="8"/>
      <c r="BI26" s="6" t="s">
        <v>110</v>
      </c>
      <c r="BJ26" s="7">
        <v>20</v>
      </c>
      <c r="BK26" s="7">
        <v>25</v>
      </c>
      <c r="BL26" s="8">
        <v>0</v>
      </c>
      <c r="BM26" s="6" t="s">
        <v>115</v>
      </c>
      <c r="BN26" s="7">
        <v>30</v>
      </c>
      <c r="BO26" s="7">
        <v>50</v>
      </c>
      <c r="BP26" s="8">
        <v>0</v>
      </c>
      <c r="BQ26" s="6"/>
      <c r="BR26" s="7"/>
      <c r="BS26" s="7"/>
      <c r="BT26" s="8"/>
      <c r="BU26" s="6"/>
      <c r="BV26" s="7"/>
      <c r="BW26" s="7"/>
      <c r="BX26" s="8"/>
      <c r="BY26" s="6"/>
      <c r="BZ26" s="7"/>
      <c r="CA26" s="7"/>
      <c r="CB26" s="8"/>
      <c r="CC26" s="6"/>
      <c r="CD26" s="7"/>
      <c r="CE26" s="7"/>
      <c r="CF26" s="8"/>
      <c r="CG26" s="6"/>
      <c r="CH26" s="7"/>
      <c r="CI26" s="7"/>
      <c r="CJ26" s="8"/>
      <c r="CK26" s="6"/>
      <c r="CL26" s="7"/>
      <c r="CM26" s="7"/>
      <c r="CN26" s="8"/>
      <c r="CO26" s="23" t="s">
        <v>90</v>
      </c>
    </row>
    <row r="27" spans="2:93">
      <c r="S27" s="13">
        <v>23</v>
      </c>
      <c r="T27" s="13" t="s">
        <v>91</v>
      </c>
      <c r="U27" s="6"/>
      <c r="V27" s="7"/>
      <c r="W27" s="7"/>
      <c r="X27" s="8"/>
      <c r="Y27" s="6"/>
      <c r="Z27" s="7"/>
      <c r="AA27" s="7"/>
      <c r="AB27" s="8"/>
      <c r="AC27" s="6"/>
      <c r="AD27" s="7"/>
      <c r="AE27" s="7"/>
      <c r="AF27" s="8"/>
      <c r="AG27" s="6"/>
      <c r="AH27" s="7"/>
      <c r="AI27" s="7"/>
      <c r="AJ27" s="8"/>
      <c r="AK27" s="6"/>
      <c r="AL27" s="7"/>
      <c r="AM27" s="7"/>
      <c r="AN27" s="8"/>
      <c r="AO27" s="6"/>
      <c r="AP27" s="7"/>
      <c r="AQ27" s="7"/>
      <c r="AR27" s="8"/>
      <c r="AS27" s="6"/>
      <c r="AT27" s="7"/>
      <c r="AU27" s="7"/>
      <c r="AV27" s="8"/>
      <c r="AW27" s="6"/>
      <c r="AX27" s="7"/>
      <c r="AY27" s="7"/>
      <c r="AZ27" s="8"/>
      <c r="BA27" s="6"/>
      <c r="BB27" s="7"/>
      <c r="BC27" s="7"/>
      <c r="BD27" s="8"/>
      <c r="BE27" s="6"/>
      <c r="BF27" s="7"/>
      <c r="BG27" s="7"/>
      <c r="BH27" s="8"/>
      <c r="BI27" s="6" t="s">
        <v>111</v>
      </c>
      <c r="BJ27" s="7">
        <v>25</v>
      </c>
      <c r="BK27" s="7">
        <v>30</v>
      </c>
      <c r="BL27" s="8">
        <v>0</v>
      </c>
      <c r="BM27" s="6" t="s">
        <v>116</v>
      </c>
      <c r="BN27" s="7">
        <v>30</v>
      </c>
      <c r="BO27" s="7">
        <v>50</v>
      </c>
      <c r="BP27" s="8">
        <v>0</v>
      </c>
      <c r="BQ27" s="6"/>
      <c r="BR27" s="7"/>
      <c r="BS27" s="7"/>
      <c r="BT27" s="8"/>
      <c r="BU27" s="6"/>
      <c r="BV27" s="7"/>
      <c r="BW27" s="7"/>
      <c r="BX27" s="8"/>
      <c r="BY27" s="6"/>
      <c r="BZ27" s="7"/>
      <c r="CA27" s="7"/>
      <c r="CB27" s="8"/>
      <c r="CC27" s="6"/>
      <c r="CD27" s="7"/>
      <c r="CE27" s="7"/>
      <c r="CF27" s="8"/>
      <c r="CG27" s="6"/>
      <c r="CH27" s="7"/>
      <c r="CI27" s="7"/>
      <c r="CJ27" s="8"/>
      <c r="CK27" s="6"/>
      <c r="CL27" s="7"/>
      <c r="CM27" s="7"/>
      <c r="CN27" s="8"/>
      <c r="CO27" s="23" t="s">
        <v>91</v>
      </c>
    </row>
    <row r="28" spans="2:93">
      <c r="B28" s="1" t="s">
        <v>210</v>
      </c>
      <c r="C28" s="34" t="s">
        <v>138</v>
      </c>
      <c r="D28" s="35"/>
      <c r="E28" s="19" t="s">
        <v>147</v>
      </c>
      <c r="S28" s="13">
        <v>24</v>
      </c>
      <c r="T28" s="13" t="s">
        <v>92</v>
      </c>
      <c r="U28" s="6"/>
      <c r="V28" s="7"/>
      <c r="W28" s="7"/>
      <c r="X28" s="8"/>
      <c r="Y28" s="6"/>
      <c r="Z28" s="7"/>
      <c r="AA28" s="7"/>
      <c r="AB28" s="8"/>
      <c r="AC28" s="6"/>
      <c r="AD28" s="7"/>
      <c r="AE28" s="7"/>
      <c r="AF28" s="8"/>
      <c r="AG28" s="6"/>
      <c r="AH28" s="7"/>
      <c r="AI28" s="7"/>
      <c r="AJ28" s="8"/>
      <c r="AK28" s="6"/>
      <c r="AL28" s="7"/>
      <c r="AM28" s="7"/>
      <c r="AN28" s="8"/>
      <c r="AO28" s="6"/>
      <c r="AP28" s="7"/>
      <c r="AQ28" s="7"/>
      <c r="AR28" s="8"/>
      <c r="AS28" s="6"/>
      <c r="AT28" s="7"/>
      <c r="AU28" s="7"/>
      <c r="AV28" s="8"/>
      <c r="AW28" s="6"/>
      <c r="AX28" s="7"/>
      <c r="AY28" s="7"/>
      <c r="AZ28" s="8"/>
      <c r="BA28" s="6"/>
      <c r="BB28" s="7"/>
      <c r="BC28" s="7"/>
      <c r="BD28" s="8"/>
      <c r="BE28" s="6"/>
      <c r="BF28" s="7"/>
      <c r="BG28" s="7"/>
      <c r="BH28" s="8"/>
      <c r="BI28" s="6"/>
      <c r="BJ28" s="7"/>
      <c r="BK28" s="7"/>
      <c r="BL28" s="8"/>
      <c r="BM28" s="6" t="s">
        <v>117</v>
      </c>
      <c r="BN28" s="7">
        <v>30</v>
      </c>
      <c r="BO28" s="7">
        <v>50</v>
      </c>
      <c r="BP28" s="8">
        <v>0</v>
      </c>
      <c r="BQ28" s="6"/>
      <c r="BR28" s="7"/>
      <c r="BS28" s="7"/>
      <c r="BT28" s="8"/>
      <c r="BU28" s="6"/>
      <c r="BV28" s="7"/>
      <c r="BW28" s="7"/>
      <c r="BX28" s="8"/>
      <c r="BY28" s="6"/>
      <c r="BZ28" s="7"/>
      <c r="CA28" s="7"/>
      <c r="CB28" s="8"/>
      <c r="CC28" s="6"/>
      <c r="CD28" s="7"/>
      <c r="CE28" s="7"/>
      <c r="CF28" s="8"/>
      <c r="CG28" s="6"/>
      <c r="CH28" s="7"/>
      <c r="CI28" s="7"/>
      <c r="CJ28" s="8"/>
      <c r="CK28" s="6"/>
      <c r="CL28" s="7"/>
      <c r="CM28" s="7"/>
      <c r="CN28" s="8"/>
      <c r="CO28" s="23" t="s">
        <v>92</v>
      </c>
    </row>
    <row r="29" spans="2:93">
      <c r="B29" s="1" t="s">
        <v>211</v>
      </c>
      <c r="C29" s="36" t="str">
        <f>IF(CC32=0,"NO CT AVAILABLE",CC32)</f>
        <v>NO CT AVAILABLE</v>
      </c>
      <c r="D29" s="37"/>
      <c r="E29" s="2">
        <f>+CF32</f>
        <v>0</v>
      </c>
      <c r="S29" s="13">
        <v>25</v>
      </c>
      <c r="T29" s="13" t="s">
        <v>93</v>
      </c>
      <c r="U29" s="6"/>
      <c r="V29" s="7"/>
      <c r="W29" s="7"/>
      <c r="X29" s="8"/>
      <c r="Y29" s="6"/>
      <c r="Z29" s="7"/>
      <c r="AA29" s="7"/>
      <c r="AB29" s="8"/>
      <c r="AC29" s="6"/>
      <c r="AD29" s="7"/>
      <c r="AE29" s="7"/>
      <c r="AF29" s="8"/>
      <c r="AG29" s="6"/>
      <c r="AH29" s="7"/>
      <c r="AI29" s="7"/>
      <c r="AJ29" s="8"/>
      <c r="AK29" s="6"/>
      <c r="AL29" s="7"/>
      <c r="AM29" s="7"/>
      <c r="AN29" s="8"/>
      <c r="AO29" s="6"/>
      <c r="AP29" s="7"/>
      <c r="AQ29" s="7"/>
      <c r="AR29" s="8"/>
      <c r="AS29" s="6"/>
      <c r="AT29" s="7"/>
      <c r="AU29" s="7"/>
      <c r="AV29" s="8"/>
      <c r="AW29" s="6"/>
      <c r="AX29" s="7"/>
      <c r="AY29" s="7"/>
      <c r="AZ29" s="8"/>
      <c r="BA29" s="6" t="s">
        <v>135</v>
      </c>
      <c r="BB29" s="7">
        <v>60</v>
      </c>
      <c r="BC29" s="7">
        <v>0</v>
      </c>
      <c r="BD29" s="8">
        <v>0</v>
      </c>
      <c r="BE29" s="6"/>
      <c r="BF29" s="7"/>
      <c r="BG29" s="7"/>
      <c r="BH29" s="8"/>
      <c r="BI29" s="6"/>
      <c r="BJ29" s="7"/>
      <c r="BK29" s="7"/>
      <c r="BL29" s="8"/>
      <c r="BM29" s="6"/>
      <c r="BN29" s="7"/>
      <c r="BO29" s="7"/>
      <c r="BP29" s="8"/>
      <c r="BQ29" s="6"/>
      <c r="BR29" s="7"/>
      <c r="BS29" s="7"/>
      <c r="BT29" s="8"/>
      <c r="BU29" s="6"/>
      <c r="BV29" s="7"/>
      <c r="BW29" s="7"/>
      <c r="BX29" s="8"/>
      <c r="BY29" s="6"/>
      <c r="BZ29" s="7"/>
      <c r="CA29" s="7"/>
      <c r="CB29" s="8"/>
      <c r="CC29" s="6"/>
      <c r="CD29" s="7"/>
      <c r="CE29" s="7"/>
      <c r="CF29" s="8"/>
      <c r="CG29" s="6"/>
      <c r="CH29" s="7"/>
      <c r="CI29" s="7"/>
      <c r="CJ29" s="8"/>
      <c r="CK29" s="6"/>
      <c r="CL29" s="7"/>
      <c r="CM29" s="7"/>
      <c r="CN29" s="8"/>
      <c r="CO29" s="23" t="s">
        <v>93</v>
      </c>
    </row>
    <row r="30" spans="2:93">
      <c r="S30" s="14">
        <v>26</v>
      </c>
      <c r="T30" s="14" t="s">
        <v>94</v>
      </c>
      <c r="U30" s="9"/>
      <c r="V30" s="10"/>
      <c r="W30" s="10"/>
      <c r="X30" s="11"/>
      <c r="Y30" s="9"/>
      <c r="Z30" s="10"/>
      <c r="AA30" s="10"/>
      <c r="AB30" s="11"/>
      <c r="AC30" s="9"/>
      <c r="AD30" s="10"/>
      <c r="AE30" s="10"/>
      <c r="AF30" s="11"/>
      <c r="AG30" s="9"/>
      <c r="AH30" s="10"/>
      <c r="AI30" s="10"/>
      <c r="AJ30" s="11"/>
      <c r="AK30" s="9"/>
      <c r="AL30" s="10"/>
      <c r="AM30" s="10"/>
      <c r="AN30" s="11"/>
      <c r="AO30" s="9"/>
      <c r="AP30" s="10"/>
      <c r="AQ30" s="10"/>
      <c r="AR30" s="11"/>
      <c r="AS30" s="9"/>
      <c r="AT30" s="10"/>
      <c r="AU30" s="10"/>
      <c r="AV30" s="11"/>
      <c r="AW30" s="9"/>
      <c r="AX30" s="10"/>
      <c r="AY30" s="10"/>
      <c r="AZ30" s="11"/>
      <c r="BA30" s="9" t="s">
        <v>136</v>
      </c>
      <c r="BB30" s="10">
        <v>70</v>
      </c>
      <c r="BC30" s="10">
        <v>0</v>
      </c>
      <c r="BD30" s="11">
        <v>0</v>
      </c>
      <c r="BE30" s="9"/>
      <c r="BF30" s="10"/>
      <c r="BG30" s="10"/>
      <c r="BH30" s="11"/>
      <c r="BI30" s="9"/>
      <c r="BJ30" s="10"/>
      <c r="BK30" s="10"/>
      <c r="BL30" s="11"/>
      <c r="BM30" s="9"/>
      <c r="BN30" s="10"/>
      <c r="BO30" s="10"/>
      <c r="BP30" s="11"/>
      <c r="BQ30" s="9"/>
      <c r="BR30" s="10"/>
      <c r="BS30" s="10"/>
      <c r="BT30" s="11"/>
      <c r="BU30" s="9"/>
      <c r="BV30" s="10"/>
      <c r="BW30" s="10"/>
      <c r="BX30" s="11"/>
      <c r="BY30" s="9"/>
      <c r="BZ30" s="10"/>
      <c r="CA30" s="10"/>
      <c r="CB30" s="11"/>
      <c r="CC30" s="9"/>
      <c r="CD30" s="10"/>
      <c r="CE30" s="10"/>
      <c r="CF30" s="11"/>
      <c r="CG30" s="9"/>
      <c r="CH30" s="10"/>
      <c r="CI30" s="10"/>
      <c r="CJ30" s="11"/>
      <c r="CK30" s="9"/>
      <c r="CL30" s="10"/>
      <c r="CM30" s="10"/>
      <c r="CN30" s="11"/>
      <c r="CO30" s="27" t="s">
        <v>94</v>
      </c>
    </row>
    <row r="31" spans="2:93">
      <c r="B31" s="1" t="s">
        <v>212</v>
      </c>
      <c r="C31" s="34" t="s">
        <v>138</v>
      </c>
      <c r="D31" s="35"/>
      <c r="E31" s="19" t="s">
        <v>147</v>
      </c>
    </row>
    <row r="32" spans="2:93">
      <c r="B32" s="1" t="s">
        <v>20</v>
      </c>
      <c r="C32" s="36" t="str">
        <f>IF(E32=0,"NO CT AVAILABLE",CG32)</f>
        <v>NO CT AVAILABLE</v>
      </c>
      <c r="D32" s="37"/>
      <c r="E32" s="2">
        <f>+CH32</f>
        <v>0</v>
      </c>
      <c r="T32" s="15" t="s">
        <v>132</v>
      </c>
      <c r="U32" s="15" t="str">
        <f t="shared" ref="U32:AZ32" si="0">+VLOOKUP($C$14,$S$5:$CB$30,U33,FALSE)</f>
        <v>METSECT5CC005</v>
      </c>
      <c r="V32" s="16">
        <f t="shared" si="0"/>
        <v>0</v>
      </c>
      <c r="W32" s="16">
        <f t="shared" si="0"/>
        <v>1.25</v>
      </c>
      <c r="X32" s="17">
        <f t="shared" si="0"/>
        <v>1.5</v>
      </c>
      <c r="Y32" s="16">
        <f t="shared" si="0"/>
        <v>0</v>
      </c>
      <c r="Z32" s="16">
        <f t="shared" si="0"/>
        <v>0</v>
      </c>
      <c r="AA32" s="16">
        <f t="shared" si="0"/>
        <v>0</v>
      </c>
      <c r="AB32" s="16">
        <f t="shared" si="0"/>
        <v>0</v>
      </c>
      <c r="AC32" s="15">
        <f t="shared" si="0"/>
        <v>0</v>
      </c>
      <c r="AD32" s="16">
        <f t="shared" si="0"/>
        <v>0</v>
      </c>
      <c r="AE32" s="16">
        <f t="shared" si="0"/>
        <v>0</v>
      </c>
      <c r="AF32" s="17">
        <f t="shared" si="0"/>
        <v>0</v>
      </c>
      <c r="AG32" s="16">
        <f t="shared" si="0"/>
        <v>0</v>
      </c>
      <c r="AH32" s="16">
        <f t="shared" si="0"/>
        <v>0</v>
      </c>
      <c r="AI32" s="16">
        <f t="shared" si="0"/>
        <v>0</v>
      </c>
      <c r="AJ32" s="16">
        <f t="shared" si="0"/>
        <v>0</v>
      </c>
      <c r="AK32" s="15">
        <f t="shared" si="0"/>
        <v>0</v>
      </c>
      <c r="AL32" s="16">
        <f t="shared" si="0"/>
        <v>0</v>
      </c>
      <c r="AM32" s="16">
        <f t="shared" si="0"/>
        <v>0</v>
      </c>
      <c r="AN32" s="17">
        <f t="shared" si="0"/>
        <v>0</v>
      </c>
      <c r="AO32" s="16">
        <f t="shared" si="0"/>
        <v>0</v>
      </c>
      <c r="AP32" s="16">
        <f t="shared" si="0"/>
        <v>0</v>
      </c>
      <c r="AQ32" s="16">
        <f t="shared" si="0"/>
        <v>0</v>
      </c>
      <c r="AR32" s="16">
        <f t="shared" si="0"/>
        <v>0</v>
      </c>
      <c r="AS32" s="15">
        <f t="shared" si="0"/>
        <v>0</v>
      </c>
      <c r="AT32" s="16">
        <f t="shared" si="0"/>
        <v>0</v>
      </c>
      <c r="AU32" s="16">
        <f t="shared" si="0"/>
        <v>0</v>
      </c>
      <c r="AV32" s="17">
        <f t="shared" si="0"/>
        <v>0</v>
      </c>
      <c r="AW32" s="16">
        <f t="shared" si="0"/>
        <v>0</v>
      </c>
      <c r="AX32" s="16">
        <f t="shared" si="0"/>
        <v>0</v>
      </c>
      <c r="AY32" s="16">
        <f t="shared" si="0"/>
        <v>0</v>
      </c>
      <c r="AZ32" s="16">
        <f t="shared" si="0"/>
        <v>0</v>
      </c>
      <c r="BA32" s="15">
        <f t="shared" ref="BA32:CB32" si="1">+VLOOKUP($C$14,$S$5:$CB$30,BA33,FALSE)</f>
        <v>0</v>
      </c>
      <c r="BB32" s="16">
        <f t="shared" si="1"/>
        <v>0</v>
      </c>
      <c r="BC32" s="16">
        <f t="shared" si="1"/>
        <v>0</v>
      </c>
      <c r="BD32" s="17">
        <f t="shared" si="1"/>
        <v>0</v>
      </c>
      <c r="BE32" s="16">
        <f t="shared" si="1"/>
        <v>0</v>
      </c>
      <c r="BF32" s="16">
        <f t="shared" si="1"/>
        <v>0</v>
      </c>
      <c r="BG32" s="16">
        <f t="shared" si="1"/>
        <v>0</v>
      </c>
      <c r="BH32" s="16">
        <f t="shared" si="1"/>
        <v>0</v>
      </c>
      <c r="BI32" s="15">
        <f t="shared" si="1"/>
        <v>0</v>
      </c>
      <c r="BJ32" s="16">
        <f t="shared" si="1"/>
        <v>0</v>
      </c>
      <c r="BK32" s="16">
        <f t="shared" si="1"/>
        <v>0</v>
      </c>
      <c r="BL32" s="17">
        <f t="shared" si="1"/>
        <v>0</v>
      </c>
      <c r="BM32" s="16">
        <f t="shared" si="1"/>
        <v>0</v>
      </c>
      <c r="BN32" s="16">
        <f t="shared" si="1"/>
        <v>0</v>
      </c>
      <c r="BO32" s="16">
        <f t="shared" si="1"/>
        <v>0</v>
      </c>
      <c r="BP32" s="16">
        <f t="shared" si="1"/>
        <v>0</v>
      </c>
      <c r="BQ32" s="15">
        <f t="shared" si="1"/>
        <v>0</v>
      </c>
      <c r="BR32" s="16">
        <f t="shared" si="1"/>
        <v>0</v>
      </c>
      <c r="BS32" s="16">
        <f t="shared" si="1"/>
        <v>0</v>
      </c>
      <c r="BT32" s="17">
        <f t="shared" si="1"/>
        <v>0</v>
      </c>
      <c r="BU32" s="16">
        <f t="shared" si="1"/>
        <v>0</v>
      </c>
      <c r="BV32" s="16">
        <f t="shared" si="1"/>
        <v>0</v>
      </c>
      <c r="BW32" s="16">
        <f t="shared" si="1"/>
        <v>0</v>
      </c>
      <c r="BX32" s="16">
        <f t="shared" si="1"/>
        <v>0</v>
      </c>
      <c r="BY32" s="15">
        <f t="shared" si="1"/>
        <v>0</v>
      </c>
      <c r="BZ32" s="16">
        <f t="shared" si="1"/>
        <v>0</v>
      </c>
      <c r="CA32" s="16">
        <f t="shared" si="1"/>
        <v>0</v>
      </c>
      <c r="CB32" s="17">
        <f t="shared" si="1"/>
        <v>0</v>
      </c>
      <c r="CC32" s="15">
        <f>+VLOOKUP($C$14,$S$5:$CF$30,CC33,FALSE)</f>
        <v>0</v>
      </c>
      <c r="CD32" s="16">
        <f>+VLOOKUP($C$14,$S$5:$CF$30,CD33,FALSE)</f>
        <v>0</v>
      </c>
      <c r="CE32" s="16">
        <f>+VLOOKUP($C$14,$S$5:$CF$30,CE33,FALSE)</f>
        <v>0</v>
      </c>
      <c r="CF32" s="17">
        <f>+VLOOKUP($C$14,$S$5:$CF$30,CF33,FALSE)</f>
        <v>0</v>
      </c>
      <c r="CG32" s="15">
        <f>+VLOOKUP($C$14,$S$5:$CJ$30,CG33,FALSE)</f>
        <v>0</v>
      </c>
      <c r="CH32" s="16">
        <f>+VLOOKUP($C$14,$S$5:$CJ$30,CH33,FALSE)</f>
        <v>0</v>
      </c>
      <c r="CI32" s="16">
        <f>+VLOOKUP($C$14,$S$5:$CJ$30,CI33,FALSE)</f>
        <v>0</v>
      </c>
      <c r="CJ32" s="17">
        <f>+VLOOKUP($C$14,$S$5:$CJ$30,CJ33,FALSE)</f>
        <v>0</v>
      </c>
      <c r="CK32" s="15">
        <f>+VLOOKUP($C$14,$S$5:$CN$30,CK33,FALSE)</f>
        <v>0</v>
      </c>
      <c r="CL32" s="16">
        <f>+VLOOKUP($C$14,$S$5:$CN$30,CL33,FALSE)</f>
        <v>0</v>
      </c>
      <c r="CM32" s="16">
        <f>+VLOOKUP($C$14,$S$5:$CN$30,CM33,FALSE)</f>
        <v>0</v>
      </c>
      <c r="CN32" s="17">
        <f>+VLOOKUP($C$14,$S$5:$CN$30,CN33,FALSE)</f>
        <v>0</v>
      </c>
    </row>
    <row r="33" spans="2:92">
      <c r="B33" s="1" t="s">
        <v>21</v>
      </c>
      <c r="C33" s="36" t="str">
        <f>IF(E33=0,"NO CT AVAILABLE",CG32)</f>
        <v>NO CT AVAILABLE</v>
      </c>
      <c r="D33" s="37"/>
      <c r="E33" s="2">
        <f>+CI32</f>
        <v>0</v>
      </c>
      <c r="S33" s="1" t="s">
        <v>137</v>
      </c>
      <c r="T33" s="15">
        <v>2</v>
      </c>
      <c r="U33" s="15">
        <v>3</v>
      </c>
      <c r="V33" s="16">
        <v>4</v>
      </c>
      <c r="W33" s="16">
        <v>5</v>
      </c>
      <c r="X33" s="17">
        <v>6</v>
      </c>
      <c r="Y33" s="16">
        <v>7</v>
      </c>
      <c r="Z33" s="16">
        <v>8</v>
      </c>
      <c r="AA33" s="16">
        <v>9</v>
      </c>
      <c r="AB33" s="16">
        <v>10</v>
      </c>
      <c r="AC33" s="15">
        <v>11</v>
      </c>
      <c r="AD33" s="16">
        <v>12</v>
      </c>
      <c r="AE33" s="16">
        <v>13</v>
      </c>
      <c r="AF33" s="17">
        <v>14</v>
      </c>
      <c r="AG33" s="16">
        <v>15</v>
      </c>
      <c r="AH33" s="16">
        <v>16</v>
      </c>
      <c r="AI33" s="16">
        <v>17</v>
      </c>
      <c r="AJ33" s="16">
        <v>18</v>
      </c>
      <c r="AK33" s="15">
        <v>19</v>
      </c>
      <c r="AL33" s="16">
        <v>20</v>
      </c>
      <c r="AM33" s="16">
        <v>21</v>
      </c>
      <c r="AN33" s="17">
        <v>22</v>
      </c>
      <c r="AO33" s="16">
        <v>23</v>
      </c>
      <c r="AP33" s="16">
        <v>24</v>
      </c>
      <c r="AQ33" s="16">
        <v>25</v>
      </c>
      <c r="AR33" s="16">
        <v>26</v>
      </c>
      <c r="AS33" s="15">
        <v>27</v>
      </c>
      <c r="AT33" s="16">
        <v>28</v>
      </c>
      <c r="AU33" s="16">
        <v>29</v>
      </c>
      <c r="AV33" s="17">
        <v>30</v>
      </c>
      <c r="AW33" s="16">
        <v>31</v>
      </c>
      <c r="AX33" s="16">
        <v>32</v>
      </c>
      <c r="AY33" s="16">
        <v>33</v>
      </c>
      <c r="AZ33" s="16">
        <v>34</v>
      </c>
      <c r="BA33" s="15">
        <v>35</v>
      </c>
      <c r="BB33" s="16">
        <v>36</v>
      </c>
      <c r="BC33" s="16">
        <v>37</v>
      </c>
      <c r="BD33" s="17">
        <v>38</v>
      </c>
      <c r="BE33" s="16">
        <v>39</v>
      </c>
      <c r="BF33" s="16">
        <v>40</v>
      </c>
      <c r="BG33" s="16">
        <v>41</v>
      </c>
      <c r="BH33" s="16">
        <v>42</v>
      </c>
      <c r="BI33" s="15">
        <v>43</v>
      </c>
      <c r="BJ33" s="16">
        <v>44</v>
      </c>
      <c r="BK33" s="16">
        <v>45</v>
      </c>
      <c r="BL33" s="17">
        <v>46</v>
      </c>
      <c r="BM33" s="16">
        <v>47</v>
      </c>
      <c r="BN33" s="16">
        <v>48</v>
      </c>
      <c r="BO33" s="16">
        <v>49</v>
      </c>
      <c r="BP33" s="16">
        <v>50</v>
      </c>
      <c r="BQ33" s="15">
        <v>51</v>
      </c>
      <c r="BR33" s="16">
        <v>52</v>
      </c>
      <c r="BS33" s="16">
        <v>53</v>
      </c>
      <c r="BT33" s="17">
        <v>54</v>
      </c>
      <c r="BU33" s="16">
        <v>55</v>
      </c>
      <c r="BV33" s="16">
        <v>56</v>
      </c>
      <c r="BW33" s="16">
        <v>57</v>
      </c>
      <c r="BX33" s="16">
        <v>58</v>
      </c>
      <c r="BY33" s="15">
        <v>59</v>
      </c>
      <c r="BZ33" s="16">
        <v>60</v>
      </c>
      <c r="CA33" s="16">
        <v>61</v>
      </c>
      <c r="CB33" s="17">
        <v>62</v>
      </c>
      <c r="CC33" s="15">
        <v>63</v>
      </c>
      <c r="CD33" s="16">
        <v>64</v>
      </c>
      <c r="CE33" s="16">
        <v>65</v>
      </c>
      <c r="CF33" s="17">
        <v>66</v>
      </c>
      <c r="CG33" s="15">
        <v>67</v>
      </c>
      <c r="CH33" s="16">
        <v>68</v>
      </c>
      <c r="CI33" s="16">
        <v>69</v>
      </c>
      <c r="CJ33" s="17">
        <v>70</v>
      </c>
      <c r="CK33" s="15">
        <v>71</v>
      </c>
      <c r="CL33" s="16">
        <v>72</v>
      </c>
      <c r="CM33" s="16">
        <v>73</v>
      </c>
      <c r="CN33" s="17">
        <v>74</v>
      </c>
    </row>
    <row r="35" spans="2:92">
      <c r="B35" s="1" t="s">
        <v>213</v>
      </c>
      <c r="C35" s="34" t="s">
        <v>138</v>
      </c>
      <c r="D35" s="35"/>
      <c r="E35" s="19" t="s">
        <v>147</v>
      </c>
      <c r="H35" t="s">
        <v>146</v>
      </c>
      <c r="S35" s="7"/>
      <c r="T35" s="7"/>
      <c r="U35" s="7"/>
      <c r="V35" s="7"/>
      <c r="W35" s="7"/>
    </row>
    <row r="36" spans="2:92">
      <c r="B36" s="1" t="s">
        <v>21</v>
      </c>
      <c r="C36" s="36" t="str">
        <f>+IF(E36=0,"NO CT AVAILABLE",CK32)</f>
        <v>NO CT AVAILABLE</v>
      </c>
      <c r="D36" s="37"/>
      <c r="E36" s="2">
        <f>+CM32</f>
        <v>0</v>
      </c>
      <c r="H36" s="3">
        <v>1</v>
      </c>
      <c r="I36" s="4" t="s">
        <v>139</v>
      </c>
      <c r="J36" s="3">
        <f>+IF(N36&gt;$C$11,1,0)</f>
        <v>0</v>
      </c>
      <c r="K36" s="4">
        <f t="shared" ref="J36:L42" si="2">+IF(O36&gt;$C$11,1,0)</f>
        <v>1</v>
      </c>
      <c r="L36" s="5">
        <f t="shared" si="2"/>
        <v>1</v>
      </c>
      <c r="M36" s="5" t="str">
        <f>+U32</f>
        <v>METSECT5CC005</v>
      </c>
      <c r="N36" s="3">
        <f>+V32</f>
        <v>0</v>
      </c>
      <c r="O36" s="4">
        <f>+W32</f>
        <v>1.25</v>
      </c>
      <c r="P36" s="5">
        <f>+X32</f>
        <v>1.5</v>
      </c>
      <c r="Q36" s="12">
        <v>21</v>
      </c>
      <c r="S36" s="7"/>
      <c r="T36" s="7"/>
      <c r="U36" s="7"/>
      <c r="V36" s="7"/>
      <c r="W36" s="7"/>
    </row>
    <row r="37" spans="2:92">
      <c r="H37" s="6">
        <v>2</v>
      </c>
      <c r="I37" s="7" t="s">
        <v>140</v>
      </c>
      <c r="J37" s="6">
        <f>+IF(N37&gt;$C$11,1,0)</f>
        <v>0</v>
      </c>
      <c r="K37" s="7">
        <f t="shared" si="2"/>
        <v>0</v>
      </c>
      <c r="L37" s="8">
        <f t="shared" si="2"/>
        <v>0</v>
      </c>
      <c r="M37" s="8">
        <f>+Y32</f>
        <v>0</v>
      </c>
      <c r="N37" s="6">
        <f>+Z32</f>
        <v>0</v>
      </c>
      <c r="O37" s="7">
        <f>+AA32</f>
        <v>0</v>
      </c>
      <c r="P37" s="8">
        <f>+AB32</f>
        <v>0</v>
      </c>
      <c r="Q37" s="13">
        <v>22</v>
      </c>
      <c r="S37" s="7"/>
      <c r="T37" s="7"/>
      <c r="U37" s="7"/>
      <c r="V37" s="7"/>
      <c r="W37" s="7"/>
    </row>
    <row r="38" spans="2:92">
      <c r="H38" s="6">
        <v>3</v>
      </c>
      <c r="I38" s="7" t="s">
        <v>141</v>
      </c>
      <c r="J38" s="6">
        <f t="shared" si="2"/>
        <v>0</v>
      </c>
      <c r="K38" s="7">
        <f t="shared" si="2"/>
        <v>0</v>
      </c>
      <c r="L38" s="8">
        <f t="shared" si="2"/>
        <v>0</v>
      </c>
      <c r="M38" s="8">
        <f>+AC32</f>
        <v>0</v>
      </c>
      <c r="N38" s="6">
        <f>+AD32</f>
        <v>0</v>
      </c>
      <c r="O38" s="7">
        <f>+AE32</f>
        <v>0</v>
      </c>
      <c r="P38" s="8">
        <f>+AF32</f>
        <v>0</v>
      </c>
      <c r="Q38" s="13">
        <v>26</v>
      </c>
      <c r="S38" s="7"/>
      <c r="T38" s="7"/>
      <c r="U38" s="7"/>
      <c r="V38" s="7"/>
      <c r="W38" s="7"/>
    </row>
    <row r="39" spans="2:92">
      <c r="B39" s="25"/>
      <c r="C39" s="26"/>
      <c r="D39" s="26"/>
      <c r="E39" s="25"/>
      <c r="H39" s="6">
        <v>4</v>
      </c>
      <c r="I39" s="7" t="s">
        <v>142</v>
      </c>
      <c r="J39" s="6">
        <f t="shared" si="2"/>
        <v>0</v>
      </c>
      <c r="K39" s="7">
        <f t="shared" si="2"/>
        <v>0</v>
      </c>
      <c r="L39" s="8">
        <f t="shared" si="2"/>
        <v>0</v>
      </c>
      <c r="M39" s="8">
        <f>+AG32</f>
        <v>0</v>
      </c>
      <c r="N39" s="6">
        <f>+AH32</f>
        <v>0</v>
      </c>
      <c r="O39" s="7">
        <f>+AI32</f>
        <v>0</v>
      </c>
      <c r="P39" s="8">
        <f>+AJ32</f>
        <v>0</v>
      </c>
      <c r="Q39" s="13">
        <v>27</v>
      </c>
      <c r="S39" s="7"/>
      <c r="T39" s="7"/>
      <c r="U39" s="7"/>
      <c r="V39" s="7"/>
      <c r="W39" s="7"/>
    </row>
    <row r="40" spans="2:92">
      <c r="B40" s="25"/>
      <c r="C40" s="25"/>
      <c r="D40" s="25"/>
      <c r="E40" s="25"/>
      <c r="H40" s="6">
        <v>5</v>
      </c>
      <c r="I40" s="7" t="s">
        <v>143</v>
      </c>
      <c r="J40" s="6">
        <f t="shared" si="2"/>
        <v>0</v>
      </c>
      <c r="K40" s="7">
        <f t="shared" si="2"/>
        <v>0</v>
      </c>
      <c r="L40" s="8">
        <f t="shared" si="2"/>
        <v>0</v>
      </c>
      <c r="M40" s="8">
        <f>+AK32</f>
        <v>0</v>
      </c>
      <c r="N40" s="6">
        <f>+AL32</f>
        <v>0</v>
      </c>
      <c r="O40" s="7">
        <f>+AM32</f>
        <v>0</v>
      </c>
      <c r="P40" s="8">
        <f>+AN32</f>
        <v>0</v>
      </c>
      <c r="Q40" s="13">
        <v>32</v>
      </c>
      <c r="S40" s="7"/>
      <c r="T40" s="7"/>
      <c r="U40" s="7"/>
      <c r="V40" s="7"/>
      <c r="W40" s="7"/>
    </row>
    <row r="41" spans="2:92">
      <c r="H41" s="6">
        <v>6</v>
      </c>
      <c r="I41" s="7" t="s">
        <v>144</v>
      </c>
      <c r="J41" s="6">
        <f t="shared" si="2"/>
        <v>0</v>
      </c>
      <c r="K41" s="7">
        <f t="shared" si="2"/>
        <v>0</v>
      </c>
      <c r="L41" s="8">
        <f t="shared" si="2"/>
        <v>0</v>
      </c>
      <c r="M41" s="8">
        <f>+AO32</f>
        <v>0</v>
      </c>
      <c r="N41" s="6">
        <f>+AP32</f>
        <v>0</v>
      </c>
      <c r="O41" s="7">
        <f>+AQ32</f>
        <v>0</v>
      </c>
      <c r="P41" s="8">
        <f>+AR32</f>
        <v>0</v>
      </c>
      <c r="Q41" s="13">
        <v>35</v>
      </c>
      <c r="S41" s="7"/>
      <c r="T41" s="7"/>
      <c r="U41" s="7"/>
      <c r="V41" s="7"/>
      <c r="W41" s="7"/>
    </row>
    <row r="42" spans="2:92">
      <c r="H42" s="9">
        <v>7</v>
      </c>
      <c r="I42" s="10" t="s">
        <v>145</v>
      </c>
      <c r="J42" s="9">
        <f t="shared" si="2"/>
        <v>0</v>
      </c>
      <c r="K42" s="10">
        <f t="shared" si="2"/>
        <v>0</v>
      </c>
      <c r="L42" s="11">
        <f t="shared" si="2"/>
        <v>0</v>
      </c>
      <c r="M42" s="11">
        <f>+AS32</f>
        <v>0</v>
      </c>
      <c r="N42" s="9">
        <f>+AT32</f>
        <v>0</v>
      </c>
      <c r="O42" s="10">
        <f>+AU32</f>
        <v>0</v>
      </c>
      <c r="P42" s="11">
        <f>+AV32</f>
        <v>0</v>
      </c>
      <c r="Q42" s="14">
        <v>40</v>
      </c>
      <c r="S42" s="7"/>
      <c r="T42" s="7"/>
      <c r="U42" s="7"/>
      <c r="V42" s="7"/>
      <c r="W42" s="7"/>
    </row>
    <row r="43" spans="2:92">
      <c r="J43" s="15">
        <v>1</v>
      </c>
      <c r="K43" s="16">
        <v>1</v>
      </c>
      <c r="L43" s="16">
        <v>1</v>
      </c>
      <c r="M43" s="16" t="s">
        <v>164</v>
      </c>
      <c r="N43" s="16"/>
      <c r="O43" s="16"/>
      <c r="P43" s="16"/>
      <c r="Q43" s="17"/>
      <c r="S43" s="7"/>
      <c r="T43" s="7"/>
      <c r="U43" s="7"/>
      <c r="V43" s="7"/>
      <c r="W43" s="7"/>
    </row>
    <row r="44" spans="2:92">
      <c r="S44" s="7"/>
      <c r="T44" s="7"/>
      <c r="U44" s="7"/>
      <c r="V44" s="7"/>
      <c r="W44" s="7"/>
    </row>
    <row r="45" spans="2:92">
      <c r="S45" s="7"/>
      <c r="T45" s="7"/>
      <c r="U45" s="7"/>
      <c r="V45" s="7"/>
      <c r="W45" s="7"/>
    </row>
    <row r="46" spans="2:92">
      <c r="H46" t="s">
        <v>179</v>
      </c>
      <c r="S46" s="7"/>
      <c r="T46" s="7"/>
      <c r="U46" s="7"/>
      <c r="V46" s="7"/>
      <c r="W46" s="7"/>
    </row>
    <row r="47" spans="2:92">
      <c r="Q47" t="s">
        <v>206</v>
      </c>
      <c r="R47" t="s">
        <v>203</v>
      </c>
      <c r="S47" s="7" t="s">
        <v>204</v>
      </c>
      <c r="T47" s="25" t="s">
        <v>205</v>
      </c>
      <c r="U47" s="25" t="s">
        <v>202</v>
      </c>
      <c r="V47" s="7"/>
      <c r="W47" s="7"/>
    </row>
    <row r="48" spans="2:92">
      <c r="H48" s="12">
        <v>1</v>
      </c>
      <c r="I48" s="3" t="s">
        <v>140</v>
      </c>
      <c r="J48" s="3">
        <f t="shared" ref="J48:J61" si="3">+IF(N48&gt;$C$11,1,0)</f>
        <v>0</v>
      </c>
      <c r="K48" s="4">
        <f t="shared" ref="K48:K61" si="4">+IF(O48&gt;$C$11,1,0)</f>
        <v>0</v>
      </c>
      <c r="L48" s="5">
        <f t="shared" ref="L48:L61" si="5">+IF(P48&gt;$C$11,1,0)</f>
        <v>0</v>
      </c>
      <c r="M48" s="4">
        <f>+Y$32</f>
        <v>0</v>
      </c>
      <c r="N48" s="3">
        <f>+$Z$32</f>
        <v>0</v>
      </c>
      <c r="O48" s="4">
        <f>+$AA$32</f>
        <v>0</v>
      </c>
      <c r="P48" s="5">
        <f>+$AB$32</f>
        <v>0</v>
      </c>
      <c r="Q48" s="4" t="s">
        <v>180</v>
      </c>
      <c r="R48" s="3">
        <f>10*30</f>
        <v>300</v>
      </c>
      <c r="S48" s="4">
        <f>11*25</f>
        <v>275</v>
      </c>
      <c r="T48" s="5">
        <f>12*20</f>
        <v>240</v>
      </c>
      <c r="U48" s="5">
        <f t="shared" ref="U48:U61" si="6">+MAX(R48,S48,T48)</f>
        <v>300</v>
      </c>
      <c r="W48" s="7"/>
    </row>
    <row r="49" spans="8:23">
      <c r="H49" s="13">
        <v>2</v>
      </c>
      <c r="I49" s="6" t="s">
        <v>142</v>
      </c>
      <c r="J49" s="6">
        <f t="shared" si="3"/>
        <v>0</v>
      </c>
      <c r="K49" s="7">
        <f t="shared" si="4"/>
        <v>0</v>
      </c>
      <c r="L49" s="8">
        <f t="shared" si="5"/>
        <v>0</v>
      </c>
      <c r="M49" s="7">
        <f>+AG$32</f>
        <v>0</v>
      </c>
      <c r="N49" s="6">
        <f>+$AH$32</f>
        <v>0</v>
      </c>
      <c r="O49" s="7">
        <f>+$AI$32</f>
        <v>0</v>
      </c>
      <c r="P49" s="8">
        <f>+$AJ$32</f>
        <v>0</v>
      </c>
      <c r="Q49" s="7" t="s">
        <v>182</v>
      </c>
      <c r="R49" s="6">
        <f>10*32</f>
        <v>320</v>
      </c>
      <c r="S49" s="7">
        <f>15*25</f>
        <v>375</v>
      </c>
      <c r="T49" s="8"/>
      <c r="U49" s="8">
        <f t="shared" si="6"/>
        <v>375</v>
      </c>
      <c r="W49" s="7"/>
    </row>
    <row r="50" spans="8:23">
      <c r="H50" s="13">
        <v>3</v>
      </c>
      <c r="I50" s="6" t="s">
        <v>144</v>
      </c>
      <c r="J50" s="6">
        <f t="shared" si="3"/>
        <v>0</v>
      </c>
      <c r="K50" s="7">
        <f t="shared" si="4"/>
        <v>0</v>
      </c>
      <c r="L50" s="8">
        <f t="shared" si="5"/>
        <v>0</v>
      </c>
      <c r="M50" s="7">
        <f>+AO$32</f>
        <v>0</v>
      </c>
      <c r="N50" s="6">
        <f>+$AP$32</f>
        <v>0</v>
      </c>
      <c r="O50" s="7">
        <f>+$AQ$32</f>
        <v>0</v>
      </c>
      <c r="P50" s="8">
        <f>+$AR$32</f>
        <v>0</v>
      </c>
      <c r="Q50" s="7" t="s">
        <v>184</v>
      </c>
      <c r="R50" s="6">
        <f>10*40</f>
        <v>400</v>
      </c>
      <c r="S50" s="7"/>
      <c r="T50" s="8"/>
      <c r="U50" s="8">
        <f t="shared" si="6"/>
        <v>400</v>
      </c>
    </row>
    <row r="51" spans="8:23">
      <c r="H51" s="13">
        <v>4</v>
      </c>
      <c r="I51" s="6" t="s">
        <v>141</v>
      </c>
      <c r="J51" s="6">
        <f t="shared" si="3"/>
        <v>0</v>
      </c>
      <c r="K51" s="7">
        <f t="shared" si="4"/>
        <v>0</v>
      </c>
      <c r="L51" s="8">
        <f t="shared" si="5"/>
        <v>0</v>
      </c>
      <c r="M51" s="7">
        <f>+AC$32</f>
        <v>0</v>
      </c>
      <c r="N51" s="6">
        <f>+$AD$32</f>
        <v>0</v>
      </c>
      <c r="O51" s="7">
        <f>+$AE$32</f>
        <v>0</v>
      </c>
      <c r="P51" s="8">
        <f>+$AF$32</f>
        <v>0</v>
      </c>
      <c r="Q51" s="7" t="s">
        <v>181</v>
      </c>
      <c r="R51" s="6">
        <f>12*40</f>
        <v>480</v>
      </c>
      <c r="S51" s="7">
        <f>15*32</f>
        <v>480</v>
      </c>
      <c r="T51" s="8"/>
      <c r="U51" s="8">
        <f t="shared" si="6"/>
        <v>480</v>
      </c>
      <c r="W51" s="7"/>
    </row>
    <row r="52" spans="8:23">
      <c r="H52" s="13">
        <v>5</v>
      </c>
      <c r="I52" s="6" t="s">
        <v>143</v>
      </c>
      <c r="J52" s="6">
        <f t="shared" si="3"/>
        <v>0</v>
      </c>
      <c r="K52" s="7">
        <f t="shared" si="4"/>
        <v>0</v>
      </c>
      <c r="L52" s="8">
        <f t="shared" si="5"/>
        <v>0</v>
      </c>
      <c r="M52" s="7">
        <f>+AK$32</f>
        <v>0</v>
      </c>
      <c r="N52" s="6">
        <f>+$AL$32</f>
        <v>0</v>
      </c>
      <c r="O52" s="7">
        <f>+$AM$32</f>
        <v>0</v>
      </c>
      <c r="P52" s="8">
        <f>+$AN$32</f>
        <v>0</v>
      </c>
      <c r="Q52" s="7" t="s">
        <v>183</v>
      </c>
      <c r="R52" s="6">
        <f>10*40</f>
        <v>400</v>
      </c>
      <c r="S52" s="7">
        <f>20*32</f>
        <v>640</v>
      </c>
      <c r="T52" s="8">
        <f>25*25</f>
        <v>625</v>
      </c>
      <c r="U52" s="8">
        <f t="shared" si="6"/>
        <v>640</v>
      </c>
      <c r="W52" s="7"/>
    </row>
    <row r="53" spans="8:23">
      <c r="H53" s="13">
        <v>6</v>
      </c>
      <c r="I53" s="6" t="s">
        <v>145</v>
      </c>
      <c r="J53" s="6">
        <f t="shared" si="3"/>
        <v>0</v>
      </c>
      <c r="K53" s="7">
        <f t="shared" si="4"/>
        <v>0</v>
      </c>
      <c r="L53" s="8">
        <f t="shared" si="5"/>
        <v>0</v>
      </c>
      <c r="M53" s="7">
        <f>+AS$32</f>
        <v>0</v>
      </c>
      <c r="N53" s="6">
        <f>+$AT$32</f>
        <v>0</v>
      </c>
      <c r="O53" s="7">
        <f>+$AU$32</f>
        <v>0</v>
      </c>
      <c r="P53" s="8">
        <f>+$AV$32</f>
        <v>0</v>
      </c>
      <c r="Q53" s="7" t="s">
        <v>185</v>
      </c>
      <c r="R53" s="6">
        <f>12*50</f>
        <v>600</v>
      </c>
      <c r="S53" s="7">
        <f>20*40</f>
        <v>800</v>
      </c>
      <c r="T53" s="8"/>
      <c r="U53" s="8">
        <f t="shared" si="6"/>
        <v>800</v>
      </c>
    </row>
    <row r="54" spans="8:23">
      <c r="H54" s="13">
        <v>7</v>
      </c>
      <c r="I54" s="6" t="s">
        <v>186</v>
      </c>
      <c r="J54" s="6">
        <f t="shared" si="3"/>
        <v>0</v>
      </c>
      <c r="K54" s="7">
        <f t="shared" si="4"/>
        <v>0</v>
      </c>
      <c r="L54" s="8">
        <f t="shared" si="5"/>
        <v>0</v>
      </c>
      <c r="M54" s="7">
        <f>+AW$32</f>
        <v>0</v>
      </c>
      <c r="N54" s="6">
        <f>+$AX$32</f>
        <v>0</v>
      </c>
      <c r="O54" s="7">
        <f>+$AY$32</f>
        <v>0</v>
      </c>
      <c r="P54" s="8">
        <f>+$AZ$32</f>
        <v>0</v>
      </c>
      <c r="Q54" s="7" t="s">
        <v>187</v>
      </c>
      <c r="R54" s="6">
        <f>11*64</f>
        <v>704</v>
      </c>
      <c r="S54" s="7">
        <f>31*51</f>
        <v>1581</v>
      </c>
      <c r="T54" s="8"/>
      <c r="U54" s="8">
        <f t="shared" si="6"/>
        <v>1581</v>
      </c>
    </row>
    <row r="55" spans="8:23">
      <c r="H55" s="13">
        <v>8</v>
      </c>
      <c r="I55" s="6" t="s">
        <v>190</v>
      </c>
      <c r="J55" s="6">
        <f t="shared" si="3"/>
        <v>0</v>
      </c>
      <c r="K55" s="7">
        <f t="shared" si="4"/>
        <v>0</v>
      </c>
      <c r="L55" s="8">
        <f t="shared" si="5"/>
        <v>0</v>
      </c>
      <c r="M55" s="7">
        <f>+BE$32</f>
        <v>0</v>
      </c>
      <c r="N55" s="6">
        <f>+$BF$32</f>
        <v>0</v>
      </c>
      <c r="O55" s="7">
        <f>+$BG$32</f>
        <v>0</v>
      </c>
      <c r="P55" s="8">
        <f>+$BH$32</f>
        <v>0</v>
      </c>
      <c r="Q55" s="7" t="s">
        <v>191</v>
      </c>
      <c r="R55" s="6">
        <f>32*65</f>
        <v>2080</v>
      </c>
      <c r="S55" s="7"/>
      <c r="T55" s="8"/>
      <c r="U55" s="8">
        <f t="shared" si="6"/>
        <v>2080</v>
      </c>
    </row>
    <row r="56" spans="8:23">
      <c r="H56" s="13">
        <v>9</v>
      </c>
      <c r="I56" s="6" t="s">
        <v>196</v>
      </c>
      <c r="J56" s="6">
        <f t="shared" si="3"/>
        <v>0</v>
      </c>
      <c r="K56" s="7">
        <f t="shared" si="4"/>
        <v>0</v>
      </c>
      <c r="L56" s="8">
        <f t="shared" si="5"/>
        <v>0</v>
      </c>
      <c r="M56" s="7">
        <f>+BQ$32</f>
        <v>0</v>
      </c>
      <c r="N56" s="6">
        <f>+$BR$32</f>
        <v>0</v>
      </c>
      <c r="O56" s="7">
        <f>+$BS$32</f>
        <v>0</v>
      </c>
      <c r="P56" s="8">
        <f>+$BT$32</f>
        <v>0</v>
      </c>
      <c r="Q56" s="7" t="s">
        <v>197</v>
      </c>
      <c r="R56" s="6">
        <f>34*84</f>
        <v>2856</v>
      </c>
      <c r="S56" s="7"/>
      <c r="T56" s="8"/>
      <c r="U56" s="8">
        <f t="shared" si="6"/>
        <v>2856</v>
      </c>
    </row>
    <row r="57" spans="8:23">
      <c r="H57" s="13">
        <v>10</v>
      </c>
      <c r="I57" s="6" t="s">
        <v>200</v>
      </c>
      <c r="J57" s="6">
        <f t="shared" si="3"/>
        <v>0</v>
      </c>
      <c r="K57" s="7">
        <f t="shared" si="4"/>
        <v>0</v>
      </c>
      <c r="L57" s="8">
        <f t="shared" si="5"/>
        <v>0</v>
      </c>
      <c r="M57" s="7">
        <f>+BY$32</f>
        <v>0</v>
      </c>
      <c r="N57" s="6">
        <f>+$BY$32</f>
        <v>0</v>
      </c>
      <c r="O57" s="7">
        <f>+$BZ$32</f>
        <v>0</v>
      </c>
      <c r="P57" s="8">
        <f>+$CA$32</f>
        <v>0</v>
      </c>
      <c r="Q57" s="7" t="s">
        <v>201</v>
      </c>
      <c r="R57" s="6">
        <f>38*102</f>
        <v>3876</v>
      </c>
      <c r="S57" s="7"/>
      <c r="T57" s="8"/>
      <c r="U57" s="8">
        <f t="shared" si="6"/>
        <v>3876</v>
      </c>
    </row>
    <row r="58" spans="8:23">
      <c r="H58" s="13">
        <v>11</v>
      </c>
      <c r="I58" s="6" t="s">
        <v>192</v>
      </c>
      <c r="J58" s="6">
        <f t="shared" si="3"/>
        <v>0</v>
      </c>
      <c r="K58" s="7">
        <f t="shared" si="4"/>
        <v>0</v>
      </c>
      <c r="L58" s="8">
        <f t="shared" si="5"/>
        <v>0</v>
      </c>
      <c r="M58" s="7">
        <f>+BI$32</f>
        <v>0</v>
      </c>
      <c r="N58" s="6">
        <f>+$BJ$32</f>
        <v>0</v>
      </c>
      <c r="O58" s="7">
        <f>+$BK$32</f>
        <v>0</v>
      </c>
      <c r="P58" s="8">
        <f>+$BL$32</f>
        <v>0</v>
      </c>
      <c r="Q58" s="7" t="s">
        <v>193</v>
      </c>
      <c r="R58" s="6">
        <f>38*127</f>
        <v>4826</v>
      </c>
      <c r="S58" s="7"/>
      <c r="T58" s="8"/>
      <c r="U58" s="8">
        <f t="shared" si="6"/>
        <v>4826</v>
      </c>
    </row>
    <row r="59" spans="8:23">
      <c r="H59" s="13">
        <v>12</v>
      </c>
      <c r="I59" s="6" t="s">
        <v>198</v>
      </c>
      <c r="J59" s="6">
        <f t="shared" si="3"/>
        <v>0</v>
      </c>
      <c r="K59" s="7">
        <f t="shared" si="4"/>
        <v>0</v>
      </c>
      <c r="L59" s="8">
        <f t="shared" si="5"/>
        <v>0</v>
      </c>
      <c r="M59" s="7">
        <f>+BU$32</f>
        <v>0</v>
      </c>
      <c r="N59" s="6">
        <f>+$BV$32</f>
        <v>0</v>
      </c>
      <c r="O59" s="7">
        <f>+$BW$32</f>
        <v>0</v>
      </c>
      <c r="P59" s="8">
        <f>+$BX$32</f>
        <v>0</v>
      </c>
      <c r="Q59" s="7" t="s">
        <v>199</v>
      </c>
      <c r="R59" s="6">
        <f>54*102</f>
        <v>5508</v>
      </c>
      <c r="S59" s="7"/>
      <c r="T59" s="8"/>
      <c r="U59" s="8">
        <f t="shared" si="6"/>
        <v>5508</v>
      </c>
    </row>
    <row r="60" spans="8:23">
      <c r="H60" s="13">
        <v>13</v>
      </c>
      <c r="I60" s="6" t="s">
        <v>194</v>
      </c>
      <c r="J60" s="6">
        <f t="shared" si="3"/>
        <v>0</v>
      </c>
      <c r="K60" s="7">
        <f t="shared" si="4"/>
        <v>0</v>
      </c>
      <c r="L60" s="8">
        <f t="shared" si="5"/>
        <v>0</v>
      </c>
      <c r="M60" s="7">
        <f>+BM$32</f>
        <v>0</v>
      </c>
      <c r="N60" s="6">
        <f>+$BN$32</f>
        <v>0</v>
      </c>
      <c r="O60" s="7">
        <f>+$BO$32</f>
        <v>0</v>
      </c>
      <c r="P60" s="8">
        <f>+$BP$32</f>
        <v>0</v>
      </c>
      <c r="Q60" s="7" t="s">
        <v>195</v>
      </c>
      <c r="R60" s="6">
        <f>52*127</f>
        <v>6604</v>
      </c>
      <c r="S60" s="7"/>
      <c r="T60" s="8"/>
      <c r="U60" s="8">
        <f t="shared" si="6"/>
        <v>6604</v>
      </c>
    </row>
    <row r="61" spans="8:23">
      <c r="H61" s="14">
        <v>14</v>
      </c>
      <c r="I61" s="9" t="s">
        <v>188</v>
      </c>
      <c r="J61" s="9">
        <f t="shared" si="3"/>
        <v>0</v>
      </c>
      <c r="K61" s="10">
        <f t="shared" si="4"/>
        <v>0</v>
      </c>
      <c r="L61" s="11">
        <f t="shared" si="5"/>
        <v>0</v>
      </c>
      <c r="M61" s="10">
        <f>+BA$32</f>
        <v>0</v>
      </c>
      <c r="N61" s="9">
        <f>+$BB$32</f>
        <v>0</v>
      </c>
      <c r="O61" s="10">
        <f>+$BC$32</f>
        <v>0</v>
      </c>
      <c r="P61" s="11">
        <f>+$BD$32</f>
        <v>0</v>
      </c>
      <c r="Q61" s="10" t="s">
        <v>189</v>
      </c>
      <c r="R61" s="9">
        <f>55*165</f>
        <v>9075</v>
      </c>
      <c r="S61" s="10"/>
      <c r="T61" s="11"/>
      <c r="U61" s="11">
        <f t="shared" si="6"/>
        <v>9075</v>
      </c>
    </row>
    <row r="62" spans="8:23">
      <c r="J62" s="15">
        <v>1</v>
      </c>
      <c r="K62" s="16">
        <v>1</v>
      </c>
      <c r="L62" s="16">
        <v>1</v>
      </c>
      <c r="M62" s="1" t="s">
        <v>164</v>
      </c>
      <c r="N62" s="7"/>
      <c r="O62" s="7"/>
      <c r="P62" s="7"/>
      <c r="Q62" s="7"/>
    </row>
  </sheetData>
  <sheetProtection password="8760" sheet="1" objects="1" scenarios="1"/>
  <sortState ref="B45:CJ58">
    <sortCondition ref="U45:U58"/>
  </sortState>
  <mergeCells count="7">
    <mergeCell ref="C28:D28"/>
    <mergeCell ref="C31:D31"/>
    <mergeCell ref="C35:D35"/>
    <mergeCell ref="C36:D36"/>
    <mergeCell ref="C29:D29"/>
    <mergeCell ref="C32:D32"/>
    <mergeCell ref="C33:D3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 Class validation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2015-03-30T10:04:23Z</dcterms:modified>
</cp:coreProperties>
</file>