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sa127200\OneDrive - Schneider Electric\Downloads\"/>
    </mc:Choice>
  </mc:AlternateContent>
  <xr:revisionPtr revIDLastSave="0" documentId="13_ncr:1_{25466C3A-9FA0-4AE4-B0F7-FA214C4BC414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ANSI-51_IEC" sheetId="1" r:id="rId1"/>
    <sheet name="ANSI-51_IEEE" sheetId="5" r:id="rId2"/>
    <sheet name="ANSI-51_IAC" sheetId="4" r:id="rId3"/>
    <sheet name="ANSI-51_RI" sheetId="6" r:id="rId4"/>
    <sheet name="ANSI-49" sheetId="7" r:id="rId5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7" l="1"/>
  <c r="I11" i="7"/>
  <c r="B28" i="6"/>
  <c r="T27" i="6" s="1"/>
  <c r="B23" i="4"/>
  <c r="B24" i="4"/>
  <c r="B29" i="4" s="1"/>
  <c r="B25" i="4"/>
  <c r="B26" i="4"/>
  <c r="B27" i="4"/>
  <c r="B28" i="4"/>
  <c r="B23" i="5"/>
  <c r="B26" i="5"/>
  <c r="B24" i="5"/>
  <c r="B25" i="5"/>
  <c r="B25" i="1"/>
  <c r="B26" i="1"/>
  <c r="B27" i="1"/>
  <c r="D24" i="6"/>
  <c r="D22" i="5"/>
  <c r="D22" i="4"/>
  <c r="D24" i="1"/>
  <c r="S28" i="6" l="1"/>
  <c r="B28" i="1"/>
  <c r="T27" i="4"/>
  <c r="S27" i="4"/>
  <c r="U27" i="4" s="1"/>
  <c r="B30" i="4" s="1"/>
  <c r="T28" i="4"/>
  <c r="S28" i="4"/>
  <c r="S28" i="1"/>
  <c r="S27" i="1"/>
  <c r="T28" i="1"/>
  <c r="U28" i="1" s="1"/>
  <c r="B30" i="1" s="1"/>
  <c r="T27" i="1"/>
  <c r="S27" i="6"/>
  <c r="U27" i="6" s="1"/>
  <c r="B29" i="6" s="1"/>
  <c r="T28" i="6"/>
  <c r="U28" i="6" s="1"/>
  <c r="B30" i="6" s="1"/>
  <c r="B27" i="5"/>
  <c r="T27" i="5" s="1"/>
  <c r="U27" i="1" l="1"/>
  <c r="B29" i="1" s="1"/>
  <c r="U28" i="4"/>
  <c r="B31" i="4" s="1"/>
  <c r="S28" i="5"/>
  <c r="T28" i="5"/>
  <c r="U28" i="5" s="1"/>
  <c r="B29" i="5" s="1"/>
  <c r="S27" i="5"/>
  <c r="U27" i="5" s="1"/>
  <c r="B28" i="5" s="1"/>
</calcChain>
</file>

<file path=xl/sharedStrings.xml><?xml version="1.0" encoding="utf-8"?>
<sst xmlns="http://schemas.openxmlformats.org/spreadsheetml/2006/main" count="230" uniqueCount="111">
  <si>
    <t>SEPAM Relay Trip Curve Calculator</t>
  </si>
  <si>
    <t>Curve Shape</t>
  </si>
  <si>
    <t>Curve ID</t>
  </si>
  <si>
    <t>Relay Settings</t>
  </si>
  <si>
    <t>Expected Trip Time</t>
  </si>
  <si>
    <t>Time Delay (T)</t>
  </si>
  <si>
    <t>Current Setting (Is)</t>
  </si>
  <si>
    <t>Curve Shape (Enter ID#)</t>
  </si>
  <si>
    <t>IEC Standard Inverse (SIT)</t>
  </si>
  <si>
    <t>IEC Very Inverse (VIT)</t>
  </si>
  <si>
    <t>IEC Long-Time Inverse (LIT)</t>
  </si>
  <si>
    <t>IEC Extremely Inverse (EIT)</t>
  </si>
  <si>
    <t>IEC Ultra-Inverse (UIT)</t>
  </si>
  <si>
    <t>k</t>
  </si>
  <si>
    <t>a</t>
  </si>
  <si>
    <t>b</t>
  </si>
  <si>
    <t>calc a</t>
  </si>
  <si>
    <t>calc b</t>
  </si>
  <si>
    <t>Test Current</t>
  </si>
  <si>
    <t>Instructions:</t>
  </si>
  <si>
    <t>"Threshold Current" from the SEPAM file</t>
  </si>
  <si>
    <t>Enter in Seconds</t>
  </si>
  <si>
    <t>See Curve ID column above</t>
  </si>
  <si>
    <t>1.  Enter relay settings (current setting or pickup amps, time delay, and curve shape) in the yellow cells B20-B22 below.</t>
  </si>
  <si>
    <t>2.  Enter the planned test current in the yellow cell B24</t>
  </si>
  <si>
    <t>3.  The expected trip time, in seconds, shows up in the blue cell B28</t>
  </si>
  <si>
    <t>Secondary Test Set Injection</t>
  </si>
  <si>
    <t>IEEE Moderately Inverse</t>
  </si>
  <si>
    <t xml:space="preserve">IEEE Very Inverse </t>
  </si>
  <si>
    <t xml:space="preserve">IEEE Extremely Inverse </t>
  </si>
  <si>
    <t>A</t>
  </si>
  <si>
    <t>B</t>
  </si>
  <si>
    <t>calc A</t>
  </si>
  <si>
    <t>calc B</t>
  </si>
  <si>
    <t>p</t>
  </si>
  <si>
    <t>calc p</t>
  </si>
  <si>
    <t>CT Ratio</t>
  </si>
  <si>
    <t>C</t>
  </si>
  <si>
    <t>D</t>
  </si>
  <si>
    <t>E</t>
  </si>
  <si>
    <t>calc D</t>
  </si>
  <si>
    <t>calc E</t>
  </si>
  <si>
    <t>calc C</t>
  </si>
  <si>
    <t>calc k</t>
  </si>
  <si>
    <t>Test Current Primary</t>
  </si>
  <si>
    <t xml:space="preserve"> </t>
  </si>
  <si>
    <t>Current Transformer Input Impedance &lt; 0.02</t>
  </si>
  <si>
    <t>1 A or 5 A CT (with CCA630 or CCA634) Burden &lt; 0.02 VA at 1 A</t>
  </si>
  <si>
    <t>1 A to 6250 A Ratings &lt; 0.5 VA at 5 A</t>
  </si>
  <si>
    <t>Rated Thermal Withstand 4 IN</t>
  </si>
  <si>
    <t>1-Second Overload 100 IN</t>
  </si>
  <si>
    <t>Voltage Transformer Input Impedance &gt; 100 k</t>
  </si>
  <si>
    <t>220 V to 250 kV Ratings Input Voltage 100 to 230/√3 V</t>
  </si>
  <si>
    <t>Rated Thermal Withstand 240 V</t>
  </si>
  <si>
    <t>1-Second Overload 480 V</t>
  </si>
  <si>
    <t>Positive Trip Tolerance</t>
  </si>
  <si>
    <t>Negative Trip Tolerance</t>
  </si>
  <si>
    <t>Seconds</t>
  </si>
  <si>
    <t>2.  Enter the planned test current in the yellow cell B22</t>
  </si>
  <si>
    <t>3.  The expected trip time, in seconds, shows up in the blue cell B27</t>
  </si>
  <si>
    <t>3.  The expected trip time, in seconds, shows up in the blue cell B29</t>
  </si>
  <si>
    <t>IAC  Inverse</t>
  </si>
  <si>
    <t xml:space="preserve">IAC Very Inverse </t>
  </si>
  <si>
    <t xml:space="preserve">IAC Extremely Inverse </t>
  </si>
  <si>
    <t>ANSI 49 - Thermal Overload</t>
  </si>
  <si>
    <t>Motor Thermal Time Constant</t>
  </si>
  <si>
    <t>Tau 2</t>
  </si>
  <si>
    <t>Tau 1</t>
  </si>
  <si>
    <t>Motor Cooling Time Constant</t>
  </si>
  <si>
    <t>HSC</t>
  </si>
  <si>
    <t>Hot State Current</t>
  </si>
  <si>
    <t>TSC</t>
  </si>
  <si>
    <t>Rotor/Stator thermal state change threshold</t>
  </si>
  <si>
    <t>CS</t>
  </si>
  <si>
    <t>Cold Stalling Time</t>
  </si>
  <si>
    <t>WS</t>
  </si>
  <si>
    <t>Warm Stalling Time</t>
  </si>
  <si>
    <t>LRT</t>
  </si>
  <si>
    <t>Locked Rotor Torque</t>
  </si>
  <si>
    <t>SC</t>
  </si>
  <si>
    <t>Starting Current</t>
  </si>
  <si>
    <t>Generic Thermal Model</t>
  </si>
  <si>
    <t>Es2</t>
  </si>
  <si>
    <t>Es0</t>
  </si>
  <si>
    <t>Initial heat rise value</t>
  </si>
  <si>
    <t>Negative sequence factor</t>
  </si>
  <si>
    <t>Two Constant Thermal Model</t>
  </si>
  <si>
    <t>Motors/Generators/Transformers</t>
  </si>
  <si>
    <t>Heating time constant (minutes)</t>
  </si>
  <si>
    <t>Cooling time constant (Minutes)</t>
  </si>
  <si>
    <t>tc</t>
  </si>
  <si>
    <t>th</t>
  </si>
  <si>
    <t>Ib</t>
  </si>
  <si>
    <t>Base Current (Secondary)</t>
  </si>
  <si>
    <t>Iph</t>
  </si>
  <si>
    <t>K</t>
  </si>
  <si>
    <t>Greatest measured phase current</t>
  </si>
  <si>
    <t>NSF (Ii)</t>
  </si>
  <si>
    <t xml:space="preserve">Adjustable Factor </t>
  </si>
  <si>
    <t>K Calculator for an Asychronous Motor</t>
  </si>
  <si>
    <t>Cd</t>
  </si>
  <si>
    <t>Cn</t>
  </si>
  <si>
    <t>g</t>
  </si>
  <si>
    <t>Id</t>
  </si>
  <si>
    <t>Starting Torque</t>
  </si>
  <si>
    <t>Rated Torque</t>
  </si>
  <si>
    <t>Rated Slip</t>
  </si>
  <si>
    <t>Basis Current</t>
  </si>
  <si>
    <t>Adjust factor</t>
  </si>
  <si>
    <t>Time to Trip, cold (Seconds)</t>
  </si>
  <si>
    <t>Heat rise tripping set point, service factor squared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</si>
</sst>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 applyFill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4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5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5" fillId="4" borderId="9" xfId="0" applyFont="1" applyFill="1" applyBorder="1"/>
    <xf numFmtId="0" fontId="0" fillId="4" borderId="0" xfId="0" applyFill="1" applyBorder="1"/>
    <xf numFmtId="0" fontId="0" fillId="4" borderId="10" xfId="0" applyFill="1" applyBorder="1"/>
    <xf numFmtId="0" fontId="5" fillId="4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0" borderId="0" xfId="0" applyFill="1" applyBorder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14" xfId="0" applyFont="1" applyBorder="1"/>
    <xf numFmtId="0" fontId="0" fillId="0" borderId="0" xfId="0" applyBorder="1"/>
    <xf numFmtId="0" fontId="4" fillId="0" borderId="0" xfId="0" applyFont="1" applyBorder="1"/>
    <xf numFmtId="0" fontId="0" fillId="0" borderId="15" xfId="0" applyBorder="1"/>
    <xf numFmtId="0" fontId="4" fillId="5" borderId="16" xfId="0" applyFont="1" applyFill="1" applyBorder="1"/>
    <xf numFmtId="0" fontId="0" fillId="5" borderId="17" xfId="0" applyFill="1" applyBorder="1"/>
    <xf numFmtId="0" fontId="4" fillId="0" borderId="17" xfId="0" applyFont="1" applyBorder="1"/>
    <xf numFmtId="0" fontId="0" fillId="0" borderId="18" xfId="0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opLeftCell="A7" workbookViewId="0">
      <selection activeCell="B22" sqref="B22"/>
    </sheetView>
  </sheetViews>
  <sheetFormatPr defaultRowHeight="13.2" x14ac:dyDescent="0.25"/>
  <cols>
    <col min="1" max="1" width="23.5546875" customWidth="1"/>
    <col min="2" max="2" width="10.6640625" customWidth="1"/>
  </cols>
  <sheetData>
    <row r="1" spans="1:6" ht="15.6" x14ac:dyDescent="0.3">
      <c r="A1" s="5" t="s">
        <v>0</v>
      </c>
    </row>
    <row r="3" spans="1:6" x14ac:dyDescent="0.25">
      <c r="A3" t="s">
        <v>19</v>
      </c>
    </row>
    <row r="4" spans="1:6" x14ac:dyDescent="0.25">
      <c r="B4" t="s">
        <v>23</v>
      </c>
    </row>
    <row r="5" spans="1:6" x14ac:dyDescent="0.25">
      <c r="B5" t="s">
        <v>24</v>
      </c>
    </row>
    <row r="6" spans="1:6" x14ac:dyDescent="0.25">
      <c r="B6" t="s">
        <v>25</v>
      </c>
    </row>
    <row r="8" spans="1:6" x14ac:dyDescent="0.25">
      <c r="B8" t="s">
        <v>45</v>
      </c>
    </row>
    <row r="10" spans="1:6" x14ac:dyDescent="0.25">
      <c r="B10" t="s">
        <v>45</v>
      </c>
    </row>
    <row r="12" spans="1:6" ht="13.8" thickBot="1" x14ac:dyDescent="0.3">
      <c r="A12" s="4" t="s">
        <v>1</v>
      </c>
      <c r="B12" s="4" t="s">
        <v>2</v>
      </c>
      <c r="C12" s="11" t="s">
        <v>13</v>
      </c>
      <c r="D12" s="11" t="s">
        <v>14</v>
      </c>
      <c r="E12" s="11" t="s">
        <v>15</v>
      </c>
      <c r="F12" s="1"/>
    </row>
    <row r="13" spans="1:6" ht="13.8" thickTop="1" x14ac:dyDescent="0.25">
      <c r="A13" t="s">
        <v>8</v>
      </c>
      <c r="B13" s="8">
        <v>1</v>
      </c>
      <c r="C13" s="1">
        <v>0.14000000000000001</v>
      </c>
      <c r="D13" s="1">
        <v>0.02</v>
      </c>
      <c r="E13" s="1">
        <v>2.97</v>
      </c>
      <c r="F13" s="1"/>
    </row>
    <row r="14" spans="1:6" x14ac:dyDescent="0.25">
      <c r="A14" t="s">
        <v>9</v>
      </c>
      <c r="B14" s="9">
        <v>2</v>
      </c>
      <c r="C14" s="1">
        <v>13.5</v>
      </c>
      <c r="D14" s="1">
        <v>1</v>
      </c>
      <c r="E14" s="1">
        <v>1.5</v>
      </c>
      <c r="F14" s="1"/>
    </row>
    <row r="15" spans="1:6" x14ac:dyDescent="0.25">
      <c r="A15" t="s">
        <v>10</v>
      </c>
      <c r="B15" s="9">
        <v>3</v>
      </c>
      <c r="C15" s="1">
        <v>120</v>
      </c>
      <c r="D15" s="1">
        <v>1</v>
      </c>
      <c r="E15" s="1">
        <v>13.33</v>
      </c>
      <c r="F15" s="1"/>
    </row>
    <row r="16" spans="1:6" x14ac:dyDescent="0.25">
      <c r="A16" t="s">
        <v>11</v>
      </c>
      <c r="B16" s="9">
        <v>4</v>
      </c>
      <c r="C16" s="1">
        <v>80</v>
      </c>
      <c r="D16" s="1">
        <v>2</v>
      </c>
      <c r="E16" s="1">
        <v>0.80800000000000005</v>
      </c>
      <c r="F16" s="1"/>
    </row>
    <row r="17" spans="1:21" ht="13.8" thickBot="1" x14ac:dyDescent="0.3">
      <c r="A17" t="s">
        <v>12</v>
      </c>
      <c r="B17" s="10">
        <v>5</v>
      </c>
      <c r="C17" s="1">
        <v>315.2</v>
      </c>
      <c r="D17" s="1">
        <v>2.5</v>
      </c>
      <c r="E17" s="1">
        <v>1</v>
      </c>
      <c r="F17" s="1"/>
    </row>
    <row r="19" spans="1:21" x14ac:dyDescent="0.25">
      <c r="A19" s="4" t="s">
        <v>3</v>
      </c>
    </row>
    <row r="20" spans="1:21" x14ac:dyDescent="0.25">
      <c r="A20" s="2" t="s">
        <v>6</v>
      </c>
      <c r="B20" s="16">
        <v>1200</v>
      </c>
      <c r="C20" t="s">
        <v>20</v>
      </c>
      <c r="H20" s="20" t="s">
        <v>46</v>
      </c>
      <c r="I20" s="21"/>
      <c r="J20" s="21"/>
      <c r="K20" s="21"/>
      <c r="L20" s="21"/>
      <c r="M20" s="21"/>
      <c r="N20" s="22"/>
    </row>
    <row r="21" spans="1:21" x14ac:dyDescent="0.25">
      <c r="A21" s="2" t="s">
        <v>5</v>
      </c>
      <c r="B21" s="16">
        <v>0.3</v>
      </c>
      <c r="C21" t="s">
        <v>21</v>
      </c>
      <c r="H21" s="23" t="s">
        <v>47</v>
      </c>
      <c r="I21" s="24"/>
      <c r="J21" s="24"/>
      <c r="K21" s="24"/>
      <c r="L21" s="24"/>
      <c r="M21" s="24"/>
      <c r="N21" s="25"/>
    </row>
    <row r="22" spans="1:21" x14ac:dyDescent="0.25">
      <c r="A22" s="2" t="s">
        <v>7</v>
      </c>
      <c r="B22" s="16">
        <v>4</v>
      </c>
      <c r="C22" t="s">
        <v>22</v>
      </c>
      <c r="H22" s="23" t="s">
        <v>48</v>
      </c>
      <c r="I22" s="24"/>
      <c r="J22" s="24"/>
      <c r="K22" s="24"/>
      <c r="L22" s="24"/>
      <c r="M22" s="24"/>
      <c r="N22" s="25"/>
    </row>
    <row r="23" spans="1:21" x14ac:dyDescent="0.25">
      <c r="A23" s="2" t="s">
        <v>36</v>
      </c>
      <c r="B23" s="18">
        <v>240</v>
      </c>
      <c r="H23" s="23" t="s">
        <v>49</v>
      </c>
      <c r="I23" s="24"/>
      <c r="J23" s="24"/>
      <c r="K23" s="24"/>
      <c r="L23" s="24"/>
      <c r="M23" s="24"/>
      <c r="N23" s="25"/>
    </row>
    <row r="24" spans="1:21" x14ac:dyDescent="0.25">
      <c r="A24" s="3" t="s">
        <v>18</v>
      </c>
      <c r="B24" s="15">
        <v>3600</v>
      </c>
      <c r="D24" s="19">
        <f>$B24/$B23</f>
        <v>15</v>
      </c>
      <c r="E24" s="45" t="s">
        <v>26</v>
      </c>
      <c r="F24" s="45"/>
      <c r="G24" s="45"/>
      <c r="H24" s="23" t="s">
        <v>50</v>
      </c>
      <c r="I24" s="24"/>
      <c r="J24" s="24"/>
      <c r="K24" s="24"/>
      <c r="L24" s="24"/>
      <c r="M24" s="24"/>
      <c r="N24" s="25"/>
    </row>
    <row r="25" spans="1:21" x14ac:dyDescent="0.25">
      <c r="A25" s="2" t="s">
        <v>43</v>
      </c>
      <c r="B25" s="6">
        <f>IF(B22=1,C13,IF(B22=2,C14,IF(B22=3,C15,IF(B22=4,C16,IF(B22=5,C17,XXX)))))</f>
        <v>80</v>
      </c>
      <c r="H25" s="23" t="s">
        <v>51</v>
      </c>
      <c r="I25" s="24"/>
      <c r="J25" s="24"/>
      <c r="K25" s="24"/>
      <c r="L25" s="24"/>
      <c r="M25" s="24"/>
      <c r="N25" s="25"/>
    </row>
    <row r="26" spans="1:21" x14ac:dyDescent="0.25">
      <c r="A26" s="2" t="s">
        <v>16</v>
      </c>
      <c r="B26" s="1">
        <f>IF(B22=1,D13,IF(B22=2,D14,IF(B22=3,D15,IF(B22=4,D16,IF(B22=5,D17,XXX)))))</f>
        <v>2</v>
      </c>
      <c r="H26" s="23" t="s">
        <v>52</v>
      </c>
      <c r="I26" s="24"/>
      <c r="J26" s="24"/>
      <c r="K26" s="24"/>
      <c r="L26" s="24"/>
      <c r="M26" s="24"/>
      <c r="N26" s="25"/>
    </row>
    <row r="27" spans="1:21" ht="13.8" thickBot="1" x14ac:dyDescent="0.3">
      <c r="A27" s="2" t="s">
        <v>17</v>
      </c>
      <c r="B27" s="1">
        <f>IF(B22=1,E13,IF(B22=2,E14,IF(B22=3,E15,IF(B22=4,E16,IF(B22=5,E17,XXX)))))</f>
        <v>0.80800000000000005</v>
      </c>
      <c r="H27" s="23" t="s">
        <v>53</v>
      </c>
      <c r="I27" s="24"/>
      <c r="J27" s="24"/>
      <c r="K27" s="24"/>
      <c r="L27" s="24"/>
      <c r="M27" s="24"/>
      <c r="N27" s="25"/>
      <c r="S27">
        <f>$B$28*1.05</f>
        <v>3.8985148514851478</v>
      </c>
      <c r="T27" s="30">
        <f>$B$28+0.025</f>
        <v>3.7378712871287121</v>
      </c>
      <c r="U27" s="30">
        <f>S27-T27</f>
        <v>0.16064356435643568</v>
      </c>
    </row>
    <row r="28" spans="1:21" ht="13.8" thickBot="1" x14ac:dyDescent="0.3">
      <c r="A28" s="3" t="s">
        <v>4</v>
      </c>
      <c r="B28" s="32">
        <f>(B25/(((B24/B20)^B26)-1))*(B21/B27)</f>
        <v>3.7128712871287122</v>
      </c>
      <c r="C28" t="s">
        <v>57</v>
      </c>
      <c r="H28" s="26" t="s">
        <v>54</v>
      </c>
      <c r="I28" s="27"/>
      <c r="J28" s="27"/>
      <c r="K28" s="27"/>
      <c r="L28" s="27"/>
      <c r="M28" s="27"/>
      <c r="N28" s="28"/>
      <c r="S28">
        <f>$B$28*0.95</f>
        <v>3.5272277227722766</v>
      </c>
      <c r="T28" s="30">
        <f>$B$28-0.01</f>
        <v>3.7028712871287124</v>
      </c>
      <c r="U28" s="30">
        <f>T28-S28</f>
        <v>0.1756435643564358</v>
      </c>
    </row>
    <row r="29" spans="1:21" x14ac:dyDescent="0.25">
      <c r="A29" s="29" t="s">
        <v>55</v>
      </c>
      <c r="B29" s="31">
        <f>IF(U27&gt;0,$S$27,$T$27)</f>
        <v>3.8985148514851478</v>
      </c>
      <c r="C29" t="s">
        <v>57</v>
      </c>
    </row>
    <row r="30" spans="1:21" x14ac:dyDescent="0.25">
      <c r="A30" s="29" t="s">
        <v>56</v>
      </c>
      <c r="B30" s="31">
        <f>IF(U28&gt;0,$S$28,$T$28)</f>
        <v>3.5272277227722766</v>
      </c>
      <c r="C30" t="s">
        <v>57</v>
      </c>
    </row>
  </sheetData>
  <sheetProtection sheet="1" objects="1" scenarios="1" selectLockedCells="1"/>
  <mergeCells count="1">
    <mergeCell ref="E24:G24"/>
  </mergeCells>
  <phoneticPr fontId="1" type="noConversion"/>
  <pageMargins left="0.75" right="0.75" top="1" bottom="1" header="0.5" footer="0.5"/>
  <pageSetup orientation="portrait" verticalDpi="1200" r:id="rId1"/>
  <headerFooter alignWithMargins="0">
    <oddFooter>&amp;C_x000D_&amp;1#&amp;"Calibri"&amp;6&amp;K626469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"/>
  <sheetViews>
    <sheetView tabSelected="1" workbookViewId="0">
      <selection activeCell="B18" sqref="B18"/>
    </sheetView>
  </sheetViews>
  <sheetFormatPr defaultRowHeight="13.2" x14ac:dyDescent="0.25"/>
  <cols>
    <col min="1" max="1" width="27" customWidth="1"/>
    <col min="2" max="2" width="10.6640625" customWidth="1"/>
  </cols>
  <sheetData>
    <row r="1" spans="1:6" ht="15.6" x14ac:dyDescent="0.3">
      <c r="A1" s="5" t="s">
        <v>0</v>
      </c>
    </row>
    <row r="3" spans="1:6" x14ac:dyDescent="0.25">
      <c r="A3" t="s">
        <v>19</v>
      </c>
    </row>
    <row r="4" spans="1:6" x14ac:dyDescent="0.25">
      <c r="B4" t="s">
        <v>23</v>
      </c>
    </row>
    <row r="5" spans="1:6" x14ac:dyDescent="0.25">
      <c r="B5" t="s">
        <v>58</v>
      </c>
    </row>
    <row r="6" spans="1:6" x14ac:dyDescent="0.25">
      <c r="B6" t="s">
        <v>59</v>
      </c>
    </row>
    <row r="8" spans="1:6" x14ac:dyDescent="0.25">
      <c r="B8" t="s">
        <v>45</v>
      </c>
    </row>
    <row r="10" spans="1:6" x14ac:dyDescent="0.25">
      <c r="B10" t="s">
        <v>45</v>
      </c>
    </row>
    <row r="12" spans="1:6" ht="13.8" thickBot="1" x14ac:dyDescent="0.3">
      <c r="A12" s="4" t="s">
        <v>1</v>
      </c>
      <c r="B12" s="4" t="s">
        <v>2</v>
      </c>
      <c r="C12" s="11" t="s">
        <v>30</v>
      </c>
      <c r="D12" s="11" t="s">
        <v>31</v>
      </c>
      <c r="E12" s="11" t="s">
        <v>15</v>
      </c>
      <c r="F12" s="11" t="s">
        <v>34</v>
      </c>
    </row>
    <row r="13" spans="1:6" ht="13.8" thickTop="1" x14ac:dyDescent="0.25">
      <c r="A13" t="s">
        <v>27</v>
      </c>
      <c r="B13" s="8">
        <v>1</v>
      </c>
      <c r="C13" s="1">
        <v>0.01</v>
      </c>
      <c r="D13" s="1">
        <v>2.3E-2</v>
      </c>
      <c r="E13" s="1">
        <v>0.24099999999999999</v>
      </c>
      <c r="F13" s="1">
        <v>0.02</v>
      </c>
    </row>
    <row r="14" spans="1:6" x14ac:dyDescent="0.25">
      <c r="A14" t="s">
        <v>28</v>
      </c>
      <c r="B14" s="9">
        <v>2</v>
      </c>
      <c r="C14" s="1">
        <v>3.9220000000000002</v>
      </c>
      <c r="D14" s="1">
        <v>9.8000000000000004E-2</v>
      </c>
      <c r="E14" s="1">
        <v>0.13800000000000001</v>
      </c>
      <c r="F14" s="1">
        <v>2</v>
      </c>
    </row>
    <row r="15" spans="1:6" ht="13.8" thickBot="1" x14ac:dyDescent="0.3">
      <c r="A15" t="s">
        <v>29</v>
      </c>
      <c r="B15" s="10">
        <v>3</v>
      </c>
      <c r="C15" s="1">
        <v>5.64</v>
      </c>
      <c r="D15" s="1">
        <v>2.4299999999999999E-2</v>
      </c>
      <c r="E15" s="1">
        <v>8.1000000000000003E-2</v>
      </c>
      <c r="F15" s="1">
        <v>2</v>
      </c>
    </row>
    <row r="17" spans="1:21" x14ac:dyDescent="0.25">
      <c r="A17" s="4" t="s">
        <v>3</v>
      </c>
    </row>
    <row r="18" spans="1:21" x14ac:dyDescent="0.25">
      <c r="A18" s="2" t="s">
        <v>6</v>
      </c>
      <c r="B18" s="16">
        <v>1200</v>
      </c>
      <c r="C18" t="s">
        <v>20</v>
      </c>
    </row>
    <row r="19" spans="1:21" x14ac:dyDescent="0.25">
      <c r="A19" s="2" t="s">
        <v>5</v>
      </c>
      <c r="B19" s="16">
        <v>0.67</v>
      </c>
      <c r="C19" t="s">
        <v>21</v>
      </c>
      <c r="H19" s="20" t="s">
        <v>46</v>
      </c>
      <c r="I19" s="21"/>
      <c r="J19" s="21"/>
      <c r="K19" s="21"/>
      <c r="L19" s="21"/>
      <c r="M19" s="21"/>
      <c r="N19" s="22"/>
    </row>
    <row r="20" spans="1:21" x14ac:dyDescent="0.25">
      <c r="A20" s="2" t="s">
        <v>7</v>
      </c>
      <c r="B20" s="16">
        <v>1</v>
      </c>
      <c r="C20" t="s">
        <v>22</v>
      </c>
      <c r="H20" s="23" t="s">
        <v>47</v>
      </c>
      <c r="I20" s="24"/>
      <c r="J20" s="24"/>
      <c r="K20" s="24"/>
      <c r="L20" s="24"/>
      <c r="M20" s="24"/>
      <c r="N20" s="25"/>
    </row>
    <row r="21" spans="1:21" x14ac:dyDescent="0.25">
      <c r="A21" s="2" t="s">
        <v>36</v>
      </c>
      <c r="B21" s="18">
        <v>1200</v>
      </c>
      <c r="H21" s="23" t="s">
        <v>48</v>
      </c>
      <c r="I21" s="24"/>
      <c r="J21" s="24"/>
      <c r="K21" s="24"/>
      <c r="L21" s="24"/>
      <c r="M21" s="24"/>
      <c r="N21" s="25"/>
    </row>
    <row r="22" spans="1:21" x14ac:dyDescent="0.25">
      <c r="A22" s="3" t="s">
        <v>44</v>
      </c>
      <c r="B22" s="15">
        <v>4800</v>
      </c>
      <c r="D22" s="19">
        <f>$B22/$B21</f>
        <v>4</v>
      </c>
      <c r="E22" s="45" t="s">
        <v>26</v>
      </c>
      <c r="F22" s="45"/>
      <c r="G22" s="45"/>
      <c r="H22" s="23" t="s">
        <v>49</v>
      </c>
      <c r="I22" s="24"/>
      <c r="J22" s="24"/>
      <c r="K22" s="24"/>
      <c r="L22" s="24"/>
      <c r="M22" s="24"/>
      <c r="N22" s="25"/>
    </row>
    <row r="23" spans="1:21" x14ac:dyDescent="0.25">
      <c r="A23" s="2" t="s">
        <v>32</v>
      </c>
      <c r="B23" s="6">
        <f>IF(B20=1,C13,IF(B20=2,C14,IF(B20=3,C15)))</f>
        <v>0.01</v>
      </c>
      <c r="H23" s="23" t="s">
        <v>50</v>
      </c>
      <c r="I23" s="24"/>
      <c r="J23" s="24"/>
      <c r="K23" s="24"/>
      <c r="L23" s="24"/>
      <c r="M23" s="24"/>
      <c r="N23" s="25"/>
    </row>
    <row r="24" spans="1:21" x14ac:dyDescent="0.25">
      <c r="A24" s="2" t="s">
        <v>33</v>
      </c>
      <c r="B24" s="1">
        <f>IF(B20=1,D13,IF(B20=2,D14,IF(B20=3,D15)))</f>
        <v>2.3E-2</v>
      </c>
      <c r="H24" s="23" t="s">
        <v>51</v>
      </c>
      <c r="I24" s="24"/>
      <c r="J24" s="24"/>
      <c r="K24" s="24"/>
      <c r="L24" s="24"/>
      <c r="M24" s="24"/>
      <c r="N24" s="25"/>
    </row>
    <row r="25" spans="1:21" x14ac:dyDescent="0.25">
      <c r="A25" s="2" t="s">
        <v>17</v>
      </c>
      <c r="B25" s="1">
        <f>IF(B20=1,E13,IF(B20=2,E14,IF(B20=3,E15)))</f>
        <v>0.24099999999999999</v>
      </c>
      <c r="H25" s="23" t="s">
        <v>52</v>
      </c>
      <c r="I25" s="24"/>
      <c r="J25" s="24"/>
      <c r="K25" s="24"/>
      <c r="L25" s="24"/>
      <c r="M25" s="24"/>
      <c r="N25" s="25"/>
    </row>
    <row r="26" spans="1:21" ht="13.8" thickBot="1" x14ac:dyDescent="0.3">
      <c r="A26" s="2" t="s">
        <v>35</v>
      </c>
      <c r="B26" s="1">
        <f>IF(B20=1,F13,IF(B20=2,F14,IF(B20=3,F15)))</f>
        <v>0.02</v>
      </c>
      <c r="H26" s="23" t="s">
        <v>53</v>
      </c>
      <c r="I26" s="24"/>
      <c r="J26" s="24"/>
      <c r="K26" s="24"/>
      <c r="L26" s="24"/>
      <c r="M26" s="24"/>
      <c r="N26" s="25"/>
    </row>
    <row r="27" spans="1:21" ht="13.8" thickBot="1" x14ac:dyDescent="0.3">
      <c r="A27" s="3" t="s">
        <v>4</v>
      </c>
      <c r="B27" s="7">
        <f>((B23/((B22/B18)^B26-1))+B24)*(B19/B25)</f>
        <v>1.0528087113593469</v>
      </c>
      <c r="C27" t="s">
        <v>57</v>
      </c>
      <c r="H27" s="26" t="s">
        <v>54</v>
      </c>
      <c r="I27" s="27"/>
      <c r="J27" s="27"/>
      <c r="K27" s="27"/>
      <c r="L27" s="27"/>
      <c r="M27" s="27"/>
      <c r="N27" s="28"/>
      <c r="S27" s="30">
        <f>$B$27*1.05</f>
        <v>1.1054491469273144</v>
      </c>
      <c r="T27" s="30">
        <f>$B$27+0.025</f>
        <v>1.0778087113593469</v>
      </c>
      <c r="U27" s="30">
        <f>S27-T27</f>
        <v>2.7640435567967581E-2</v>
      </c>
    </row>
    <row r="28" spans="1:21" x14ac:dyDescent="0.25">
      <c r="A28" s="2" t="s">
        <v>55</v>
      </c>
      <c r="B28" s="31">
        <f>IF(U27&gt;0,$S$27,$T$27)</f>
        <v>1.1054491469273144</v>
      </c>
      <c r="C28" t="s">
        <v>57</v>
      </c>
      <c r="S28" s="30">
        <f>$B$27*0.95</f>
        <v>1.0001682757913795</v>
      </c>
      <c r="T28" s="30">
        <f>$B$27-0.01</f>
        <v>1.0428087113593469</v>
      </c>
      <c r="U28" s="30">
        <f>T28-S28</f>
        <v>4.2640435567967483E-2</v>
      </c>
    </row>
    <row r="29" spans="1:21" x14ac:dyDescent="0.25">
      <c r="A29" s="2" t="s">
        <v>56</v>
      </c>
      <c r="B29" s="31">
        <f>IF(U28&gt;0,$S$28,$T$28)</f>
        <v>1.0001682757913795</v>
      </c>
      <c r="C29" t="s">
        <v>57</v>
      </c>
    </row>
  </sheetData>
  <sheetProtection sheet="1" objects="1" scenarios="1" selectLockedCells="1"/>
  <mergeCells count="1">
    <mergeCell ref="E22:G22"/>
  </mergeCells>
  <phoneticPr fontId="1" type="noConversion"/>
  <pageMargins left="0.75" right="0.75" top="1" bottom="1" header="0.5" footer="0.5"/>
  <pageSetup orientation="portrait" verticalDpi="1200" r:id="rId1"/>
  <headerFooter alignWithMargins="0">
    <oddFooter>&amp;C_x000D_&amp;1#&amp;"Calibri"&amp;6&amp;K626469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"/>
  <sheetViews>
    <sheetView topLeftCell="A5" workbookViewId="0">
      <selection activeCell="B18" sqref="B18"/>
    </sheetView>
  </sheetViews>
  <sheetFormatPr defaultRowHeight="13.2" x14ac:dyDescent="0.25"/>
  <cols>
    <col min="1" max="1" width="27" customWidth="1"/>
    <col min="2" max="2" width="10.6640625" customWidth="1"/>
  </cols>
  <sheetData>
    <row r="1" spans="1:8" ht="15.6" x14ac:dyDescent="0.3">
      <c r="A1" s="5" t="s">
        <v>0</v>
      </c>
    </row>
    <row r="3" spans="1:8" x14ac:dyDescent="0.25">
      <c r="A3" t="s">
        <v>19</v>
      </c>
    </row>
    <row r="4" spans="1:8" x14ac:dyDescent="0.25">
      <c r="B4" t="s">
        <v>23</v>
      </c>
    </row>
    <row r="5" spans="1:8" x14ac:dyDescent="0.25">
      <c r="B5" t="s">
        <v>58</v>
      </c>
    </row>
    <row r="6" spans="1:8" x14ac:dyDescent="0.25">
      <c r="B6" t="s">
        <v>60</v>
      </c>
    </row>
    <row r="8" spans="1:8" x14ac:dyDescent="0.25">
      <c r="B8" t="s">
        <v>45</v>
      </c>
    </row>
    <row r="10" spans="1:8" x14ac:dyDescent="0.25">
      <c r="B10" t="s">
        <v>45</v>
      </c>
    </row>
    <row r="12" spans="1:8" ht="13.8" thickBot="1" x14ac:dyDescent="0.3">
      <c r="A12" s="4" t="s">
        <v>1</v>
      </c>
      <c r="B12" s="4" t="s">
        <v>2</v>
      </c>
      <c r="C12" s="11" t="s">
        <v>30</v>
      </c>
      <c r="D12" s="11" t="s">
        <v>31</v>
      </c>
      <c r="E12" s="11" t="s">
        <v>37</v>
      </c>
      <c r="F12" s="11" t="s">
        <v>38</v>
      </c>
      <c r="G12" s="14" t="s">
        <v>39</v>
      </c>
      <c r="H12" s="14" t="s">
        <v>15</v>
      </c>
    </row>
    <row r="13" spans="1:8" ht="13.8" thickTop="1" x14ac:dyDescent="0.25">
      <c r="A13" t="s">
        <v>61</v>
      </c>
      <c r="B13" s="8">
        <v>1</v>
      </c>
      <c r="C13" s="1">
        <v>0.20799999999999999</v>
      </c>
      <c r="D13" s="1">
        <v>0.86299999999999999</v>
      </c>
      <c r="E13" s="1">
        <v>0.8</v>
      </c>
      <c r="F13" s="1">
        <v>-0.41799999999999998</v>
      </c>
      <c r="G13" s="13">
        <v>0.19500000000000001</v>
      </c>
      <c r="H13" s="13">
        <v>0.29699999999999999</v>
      </c>
    </row>
    <row r="14" spans="1:8" x14ac:dyDescent="0.25">
      <c r="A14" t="s">
        <v>62</v>
      </c>
      <c r="B14" s="9">
        <v>2</v>
      </c>
      <c r="C14" s="1">
        <v>0.09</v>
      </c>
      <c r="D14" s="1">
        <v>0.79500000000000004</v>
      </c>
      <c r="E14" s="1">
        <v>0.1</v>
      </c>
      <c r="F14" s="1">
        <v>-1.288</v>
      </c>
      <c r="G14" s="13">
        <v>7.9580000000000002</v>
      </c>
      <c r="H14" s="13">
        <v>0.16500000000000001</v>
      </c>
    </row>
    <row r="15" spans="1:8" ht="13.8" thickBot="1" x14ac:dyDescent="0.3">
      <c r="A15" t="s">
        <v>63</v>
      </c>
      <c r="B15" s="10">
        <v>3</v>
      </c>
      <c r="C15" s="1">
        <v>4.0000000000000001E-3</v>
      </c>
      <c r="D15" s="1">
        <v>0.63800000000000001</v>
      </c>
      <c r="E15" s="1">
        <v>0.62</v>
      </c>
      <c r="F15" s="1">
        <v>1.7869999999999999</v>
      </c>
      <c r="G15" s="13">
        <v>0.246</v>
      </c>
      <c r="H15" s="13">
        <v>9.1999999999999998E-2</v>
      </c>
    </row>
    <row r="17" spans="1:21" x14ac:dyDescent="0.25">
      <c r="A17" s="4" t="s">
        <v>3</v>
      </c>
    </row>
    <row r="18" spans="1:21" x14ac:dyDescent="0.25">
      <c r="A18" s="2" t="s">
        <v>6</v>
      </c>
      <c r="B18" s="16">
        <v>200</v>
      </c>
      <c r="C18" t="s">
        <v>20</v>
      </c>
    </row>
    <row r="19" spans="1:21" x14ac:dyDescent="0.25">
      <c r="A19" s="2" t="s">
        <v>5</v>
      </c>
      <c r="B19" s="16">
        <v>0.1</v>
      </c>
      <c r="C19" t="s">
        <v>21</v>
      </c>
      <c r="H19" s="20" t="s">
        <v>46</v>
      </c>
      <c r="I19" s="21"/>
      <c r="J19" s="21"/>
      <c r="K19" s="21"/>
      <c r="L19" s="21"/>
      <c r="M19" s="21"/>
      <c r="N19" s="22"/>
    </row>
    <row r="20" spans="1:21" x14ac:dyDescent="0.25">
      <c r="A20" s="2" t="s">
        <v>7</v>
      </c>
      <c r="B20" s="16">
        <v>3</v>
      </c>
      <c r="C20" t="s">
        <v>22</v>
      </c>
      <c r="H20" s="23" t="s">
        <v>47</v>
      </c>
      <c r="I20" s="24"/>
      <c r="J20" s="24"/>
      <c r="K20" s="24"/>
      <c r="L20" s="24"/>
      <c r="M20" s="24"/>
      <c r="N20" s="25"/>
    </row>
    <row r="21" spans="1:21" x14ac:dyDescent="0.25">
      <c r="A21" s="2" t="s">
        <v>36</v>
      </c>
      <c r="B21" s="18">
        <v>40</v>
      </c>
      <c r="H21" s="23" t="s">
        <v>48</v>
      </c>
      <c r="I21" s="24"/>
      <c r="J21" s="24"/>
      <c r="K21" s="24"/>
      <c r="L21" s="24"/>
      <c r="M21" s="24"/>
      <c r="N21" s="25"/>
    </row>
    <row r="22" spans="1:21" x14ac:dyDescent="0.25">
      <c r="A22" s="3" t="s">
        <v>18</v>
      </c>
      <c r="B22" s="15">
        <v>400</v>
      </c>
      <c r="D22" s="12">
        <f>$B22/$B21</f>
        <v>10</v>
      </c>
      <c r="E22" s="45" t="s">
        <v>26</v>
      </c>
      <c r="F22" s="45"/>
      <c r="G22" s="45"/>
      <c r="H22" s="23" t="s">
        <v>49</v>
      </c>
      <c r="I22" s="24"/>
      <c r="J22" s="24"/>
      <c r="K22" s="24"/>
      <c r="L22" s="24"/>
      <c r="M22" s="24"/>
      <c r="N22" s="25"/>
    </row>
    <row r="23" spans="1:21" x14ac:dyDescent="0.25">
      <c r="A23" s="2" t="s">
        <v>32</v>
      </c>
      <c r="B23" s="6">
        <f>IF(B20=1,C13,IF(B20=2,C14,IF(B20=3,C15)))</f>
        <v>4.0000000000000001E-3</v>
      </c>
      <c r="H23" s="23" t="s">
        <v>50</v>
      </c>
      <c r="I23" s="24"/>
      <c r="J23" s="24"/>
      <c r="K23" s="24"/>
      <c r="L23" s="24"/>
      <c r="M23" s="24"/>
      <c r="N23" s="25"/>
    </row>
    <row r="24" spans="1:21" x14ac:dyDescent="0.25">
      <c r="A24" s="2" t="s">
        <v>33</v>
      </c>
      <c r="B24" s="1">
        <f>IF(B20=1,D13,IF(B20=2,D14,IF(B20=3,D15)))</f>
        <v>0.63800000000000001</v>
      </c>
      <c r="H24" s="23" t="s">
        <v>51</v>
      </c>
      <c r="I24" s="24"/>
      <c r="J24" s="24"/>
      <c r="K24" s="24"/>
      <c r="L24" s="24"/>
      <c r="M24" s="24"/>
      <c r="N24" s="25"/>
    </row>
    <row r="25" spans="1:21" x14ac:dyDescent="0.25">
      <c r="A25" s="2" t="s">
        <v>42</v>
      </c>
      <c r="B25" s="1">
        <f>IF(B20=1,E13,IF(B20=2,E14,IF(B20=3,E15)))</f>
        <v>0.62</v>
      </c>
      <c r="H25" s="23" t="s">
        <v>52</v>
      </c>
      <c r="I25" s="24"/>
      <c r="J25" s="24"/>
      <c r="K25" s="24"/>
      <c r="L25" s="24"/>
      <c r="M25" s="24"/>
      <c r="N25" s="25"/>
    </row>
    <row r="26" spans="1:21" x14ac:dyDescent="0.25">
      <c r="A26" s="2" t="s">
        <v>40</v>
      </c>
      <c r="B26" s="1">
        <f>IF(B20=1,F13,IF(B20=2,F14,IF(B20=3,F15)))</f>
        <v>1.7869999999999999</v>
      </c>
      <c r="H26" s="23" t="s">
        <v>53</v>
      </c>
      <c r="I26" s="24"/>
      <c r="J26" s="24"/>
      <c r="K26" s="24"/>
      <c r="L26" s="24"/>
      <c r="M26" s="24"/>
      <c r="N26" s="25"/>
    </row>
    <row r="27" spans="1:21" x14ac:dyDescent="0.25">
      <c r="A27" s="2" t="s">
        <v>41</v>
      </c>
      <c r="B27" s="1">
        <f>IF(B20=1,G13,IF(B20=2,G14,IF(B20=3,G15)))</f>
        <v>0.246</v>
      </c>
      <c r="H27" s="26" t="s">
        <v>54</v>
      </c>
      <c r="I27" s="27"/>
      <c r="J27" s="27"/>
      <c r="K27" s="27"/>
      <c r="L27" s="27"/>
      <c r="M27" s="27"/>
      <c r="N27" s="28"/>
      <c r="S27" s="30">
        <f>$B$29*1.05</f>
        <v>1.7099899049817577</v>
      </c>
      <c r="T27" s="30">
        <f>$B$29+0.025</f>
        <v>1.6535618142683406</v>
      </c>
      <c r="U27" s="30">
        <f>S27-T27</f>
        <v>5.6428090713417145E-2</v>
      </c>
    </row>
    <row r="28" spans="1:21" ht="13.8" thickBot="1" x14ac:dyDescent="0.3">
      <c r="A28" s="2" t="s">
        <v>17</v>
      </c>
      <c r="B28" s="1">
        <f>IF(B20=1,H13,IF(B20=2,H14,IF(B20=3,H15)))</f>
        <v>9.1999999999999998E-2</v>
      </c>
      <c r="S28" s="30">
        <f>$B$29*0.95</f>
        <v>1.5471337235549236</v>
      </c>
      <c r="T28" s="30">
        <f>$B$29-0.01</f>
        <v>1.6185618142683407</v>
      </c>
      <c r="U28" s="30">
        <f>T28-S28</f>
        <v>7.1428090713417047E-2</v>
      </c>
    </row>
    <row r="29" spans="1:21" ht="13.8" thickBot="1" x14ac:dyDescent="0.3">
      <c r="A29" s="3" t="s">
        <v>4</v>
      </c>
      <c r="B29" s="7">
        <f>((B23+(B24/((B22/B18)-B25))+(B26/((B22/B18)-B25)^2))+(B27/((B22/B18)-B25)^3))*(B19/B28)</f>
        <v>1.6285618142683407</v>
      </c>
      <c r="C29" t="s">
        <v>57</v>
      </c>
    </row>
    <row r="30" spans="1:21" x14ac:dyDescent="0.25">
      <c r="A30" s="2" t="s">
        <v>55</v>
      </c>
      <c r="B30" s="31">
        <f>IF(U27&gt;0,$S$27,$T$27)</f>
        <v>1.7099899049817577</v>
      </c>
      <c r="C30" t="s">
        <v>57</v>
      </c>
    </row>
    <row r="31" spans="1:21" x14ac:dyDescent="0.25">
      <c r="A31" s="2" t="s">
        <v>56</v>
      </c>
      <c r="B31" s="31">
        <f>IF(U28&gt;0,$S$28,$T$28)</f>
        <v>1.5471337235549236</v>
      </c>
      <c r="C31" t="s">
        <v>57</v>
      </c>
    </row>
  </sheetData>
  <sheetProtection sheet="1" objects="1" scenarios="1" selectLockedCells="1"/>
  <mergeCells count="1">
    <mergeCell ref="E22:G22"/>
  </mergeCells>
  <phoneticPr fontId="1" type="noConversion"/>
  <pageMargins left="0.75" right="0.75" top="1" bottom="1" header="0.5" footer="0.5"/>
  <pageSetup orientation="portrait" verticalDpi="1200" r:id="rId1"/>
  <headerFooter alignWithMargins="0">
    <oddFooter>&amp;C_x000D_&amp;1#&amp;"Calibri"&amp;6&amp;K626469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0"/>
  <sheetViews>
    <sheetView workbookViewId="0">
      <selection activeCell="B22" sqref="B22"/>
    </sheetView>
  </sheetViews>
  <sheetFormatPr defaultRowHeight="13.2" x14ac:dyDescent="0.25"/>
  <cols>
    <col min="1" max="1" width="23.5546875" customWidth="1"/>
    <col min="2" max="2" width="10.6640625" customWidth="1"/>
  </cols>
  <sheetData>
    <row r="1" spans="1:6" ht="15.6" x14ac:dyDescent="0.3">
      <c r="A1" s="5" t="s">
        <v>0</v>
      </c>
    </row>
    <row r="3" spans="1:6" x14ac:dyDescent="0.25">
      <c r="A3" t="s">
        <v>19</v>
      </c>
    </row>
    <row r="4" spans="1:6" x14ac:dyDescent="0.25">
      <c r="B4" t="s">
        <v>23</v>
      </c>
    </row>
    <row r="5" spans="1:6" x14ac:dyDescent="0.25">
      <c r="B5" t="s">
        <v>24</v>
      </c>
    </row>
    <row r="6" spans="1:6" x14ac:dyDescent="0.25">
      <c r="B6" t="s">
        <v>25</v>
      </c>
    </row>
    <row r="8" spans="1:6" x14ac:dyDescent="0.25">
      <c r="B8" t="s">
        <v>45</v>
      </c>
    </row>
    <row r="10" spans="1:6" x14ac:dyDescent="0.25">
      <c r="B10" t="s">
        <v>45</v>
      </c>
    </row>
    <row r="12" spans="1:6" x14ac:dyDescent="0.25">
      <c r="F12" s="1"/>
    </row>
    <row r="13" spans="1:6" x14ac:dyDescent="0.25">
      <c r="F13" s="1"/>
    </row>
    <row r="14" spans="1:6" x14ac:dyDescent="0.25">
      <c r="F14" s="1"/>
    </row>
    <row r="15" spans="1:6" x14ac:dyDescent="0.25">
      <c r="F15" s="1"/>
    </row>
    <row r="16" spans="1:6" x14ac:dyDescent="0.25">
      <c r="F16" s="1"/>
    </row>
    <row r="17" spans="1:21" x14ac:dyDescent="0.25">
      <c r="F17" s="1"/>
    </row>
    <row r="19" spans="1:21" x14ac:dyDescent="0.25">
      <c r="A19" s="4" t="s">
        <v>3</v>
      </c>
    </row>
    <row r="20" spans="1:21" x14ac:dyDescent="0.25">
      <c r="A20" s="2" t="s">
        <v>6</v>
      </c>
      <c r="B20" s="16">
        <v>200</v>
      </c>
      <c r="C20" t="s">
        <v>20</v>
      </c>
      <c r="H20" s="20" t="s">
        <v>46</v>
      </c>
      <c r="I20" s="21"/>
      <c r="J20" s="21"/>
      <c r="K20" s="21"/>
      <c r="L20" s="21"/>
      <c r="M20" s="21"/>
      <c r="N20" s="22"/>
    </row>
    <row r="21" spans="1:21" x14ac:dyDescent="0.25">
      <c r="A21" s="2" t="s">
        <v>5</v>
      </c>
      <c r="B21" s="16">
        <v>0.1</v>
      </c>
      <c r="C21" t="s">
        <v>21</v>
      </c>
      <c r="H21" s="23" t="s">
        <v>47</v>
      </c>
      <c r="I21" s="24"/>
      <c r="J21" s="24"/>
      <c r="K21" s="24"/>
      <c r="L21" s="24"/>
      <c r="M21" s="24"/>
      <c r="N21" s="25"/>
    </row>
    <row r="22" spans="1:21" x14ac:dyDescent="0.25">
      <c r="A22" s="2" t="s">
        <v>45</v>
      </c>
      <c r="B22" s="17" t="s">
        <v>45</v>
      </c>
      <c r="C22" t="s">
        <v>45</v>
      </c>
      <c r="H22" s="23" t="s">
        <v>48</v>
      </c>
      <c r="I22" s="24"/>
      <c r="J22" s="24"/>
      <c r="K22" s="24"/>
      <c r="L22" s="24"/>
      <c r="M22" s="24"/>
      <c r="N22" s="25"/>
    </row>
    <row r="23" spans="1:21" x14ac:dyDescent="0.25">
      <c r="A23" s="2" t="s">
        <v>36</v>
      </c>
      <c r="B23" s="18">
        <v>40</v>
      </c>
      <c r="H23" s="23" t="s">
        <v>49</v>
      </c>
      <c r="I23" s="24"/>
      <c r="J23" s="24"/>
      <c r="K23" s="24"/>
      <c r="L23" s="24"/>
      <c r="M23" s="24"/>
      <c r="N23" s="25"/>
    </row>
    <row r="24" spans="1:21" x14ac:dyDescent="0.25">
      <c r="A24" s="3" t="s">
        <v>18</v>
      </c>
      <c r="B24" s="15">
        <v>400</v>
      </c>
      <c r="D24" s="12">
        <f>$B24/$B23</f>
        <v>10</v>
      </c>
      <c r="E24" s="45" t="s">
        <v>26</v>
      </c>
      <c r="F24" s="45"/>
      <c r="G24" s="45"/>
      <c r="H24" s="23" t="s">
        <v>50</v>
      </c>
      <c r="I24" s="24"/>
      <c r="J24" s="24"/>
      <c r="K24" s="24"/>
      <c r="L24" s="24"/>
      <c r="M24" s="24"/>
      <c r="N24" s="25"/>
    </row>
    <row r="25" spans="1:21" x14ac:dyDescent="0.25">
      <c r="A25" s="2" t="s">
        <v>45</v>
      </c>
      <c r="B25" s="6" t="s">
        <v>45</v>
      </c>
      <c r="H25" s="23" t="s">
        <v>51</v>
      </c>
      <c r="I25" s="24"/>
      <c r="J25" s="24"/>
      <c r="K25" s="24"/>
      <c r="L25" s="24"/>
      <c r="M25" s="24"/>
      <c r="N25" s="25"/>
    </row>
    <row r="26" spans="1:21" x14ac:dyDescent="0.25">
      <c r="A26" s="2" t="s">
        <v>45</v>
      </c>
      <c r="B26" s="1" t="s">
        <v>45</v>
      </c>
      <c r="H26" s="23" t="s">
        <v>52</v>
      </c>
      <c r="I26" s="24"/>
      <c r="J26" s="24"/>
      <c r="K26" s="24"/>
      <c r="L26" s="24"/>
      <c r="M26" s="24"/>
      <c r="N26" s="25"/>
    </row>
    <row r="27" spans="1:21" ht="13.8" thickBot="1" x14ac:dyDescent="0.3">
      <c r="A27" s="2" t="s">
        <v>45</v>
      </c>
      <c r="B27" s="1" t="s">
        <v>45</v>
      </c>
      <c r="H27" s="23" t="s">
        <v>53</v>
      </c>
      <c r="I27" s="24"/>
      <c r="J27" s="24"/>
      <c r="K27" s="24"/>
      <c r="L27" s="24"/>
      <c r="M27" s="24"/>
      <c r="N27" s="25"/>
      <c r="S27" s="30">
        <f>$B$28*1.05</f>
        <v>0.14984959382197238</v>
      </c>
      <c r="T27" s="30">
        <f>$B$28+0.025</f>
        <v>0.16771389887806892</v>
      </c>
      <c r="U27" s="30">
        <f>S27-T27</f>
        <v>-1.7864305056096541E-2</v>
      </c>
    </row>
    <row r="28" spans="1:21" ht="13.8" thickBot="1" x14ac:dyDescent="0.3">
      <c r="A28" s="3" t="s">
        <v>4</v>
      </c>
      <c r="B28" s="7">
        <f>(1/(0.339-(0.236*((B24/B20)^-1)))*(B21/3.1706))</f>
        <v>0.14271389887806893</v>
      </c>
      <c r="C28" t="s">
        <v>57</v>
      </c>
      <c r="H28" s="26" t="s">
        <v>54</v>
      </c>
      <c r="I28" s="27"/>
      <c r="J28" s="27"/>
      <c r="K28" s="27"/>
      <c r="L28" s="27"/>
      <c r="M28" s="27"/>
      <c r="N28" s="28"/>
      <c r="S28" s="30">
        <f>$B$28*0.95</f>
        <v>0.13557820393416548</v>
      </c>
      <c r="T28" s="30">
        <f>$B$28-0.01</f>
        <v>0.13271389887806892</v>
      </c>
      <c r="U28" s="30">
        <f>T28-S28</f>
        <v>-2.8643050560965555E-3</v>
      </c>
    </row>
    <row r="29" spans="1:21" x14ac:dyDescent="0.25">
      <c r="A29" s="2" t="s">
        <v>55</v>
      </c>
      <c r="B29" s="31">
        <f>IF(U27&gt;0,$S$27,$T$27)</f>
        <v>0.16771389887806892</v>
      </c>
      <c r="C29" t="s">
        <v>57</v>
      </c>
    </row>
    <row r="30" spans="1:21" x14ac:dyDescent="0.25">
      <c r="A30" s="2" t="s">
        <v>56</v>
      </c>
      <c r="B30" s="31">
        <f>IF(U28&gt;0,$S$28,$T$28)</f>
        <v>0.13271389887806892</v>
      </c>
      <c r="C30" t="s">
        <v>57</v>
      </c>
    </row>
  </sheetData>
  <sheetProtection sheet="1" objects="1" scenarios="1" selectLockedCells="1"/>
  <mergeCells count="1">
    <mergeCell ref="E24:G24"/>
  </mergeCells>
  <phoneticPr fontId="1" type="noConversion"/>
  <pageMargins left="0.75" right="0.75" top="1" bottom="1" header="0.5" footer="0.5"/>
  <pageSetup orientation="portrait" verticalDpi="1200" r:id="rId1"/>
  <headerFooter alignWithMargins="0">
    <oddFooter>&amp;C_x000D_&amp;1#&amp;"Calibri"&amp;6&amp;K626469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workbookViewId="0">
      <selection activeCell="B8" sqref="B8"/>
    </sheetView>
  </sheetViews>
  <sheetFormatPr defaultRowHeight="13.2" x14ac:dyDescent="0.25"/>
  <sheetData>
    <row r="1" spans="1:11" x14ac:dyDescent="0.25">
      <c r="A1" s="33" t="s">
        <v>64</v>
      </c>
    </row>
    <row r="3" spans="1:11" x14ac:dyDescent="0.25">
      <c r="A3" s="33" t="s">
        <v>87</v>
      </c>
    </row>
    <row r="4" spans="1:11" ht="13.8" thickBot="1" x14ac:dyDescent="0.3">
      <c r="A4" s="33" t="s">
        <v>81</v>
      </c>
    </row>
    <row r="5" spans="1:11" ht="13.8" thickBot="1" x14ac:dyDescent="0.3">
      <c r="A5" s="33" t="s">
        <v>92</v>
      </c>
      <c r="B5">
        <v>2</v>
      </c>
      <c r="C5" s="33" t="s">
        <v>93</v>
      </c>
      <c r="H5" s="42" t="s">
        <v>99</v>
      </c>
      <c r="I5" s="43"/>
      <c r="J5" s="43"/>
      <c r="K5" s="44"/>
    </row>
    <row r="6" spans="1:11" x14ac:dyDescent="0.25">
      <c r="A6" s="33" t="s">
        <v>94</v>
      </c>
      <c r="B6">
        <v>4</v>
      </c>
      <c r="C6" s="33" t="s">
        <v>96</v>
      </c>
      <c r="H6" s="34" t="s">
        <v>100</v>
      </c>
      <c r="I6" s="35">
        <v>1000</v>
      </c>
      <c r="J6" s="36" t="s">
        <v>104</v>
      </c>
      <c r="K6" s="37"/>
    </row>
    <row r="7" spans="1:11" x14ac:dyDescent="0.25">
      <c r="A7" s="33" t="s">
        <v>95</v>
      </c>
      <c r="B7">
        <v>1</v>
      </c>
      <c r="C7" s="33" t="s">
        <v>98</v>
      </c>
      <c r="H7" s="34" t="s">
        <v>101</v>
      </c>
      <c r="I7" s="35">
        <v>500</v>
      </c>
      <c r="J7" s="36" t="s">
        <v>105</v>
      </c>
      <c r="K7" s="37"/>
    </row>
    <row r="8" spans="1:11" x14ac:dyDescent="0.25">
      <c r="A8" s="33" t="s">
        <v>97</v>
      </c>
      <c r="B8">
        <v>4.5</v>
      </c>
      <c r="C8" s="33" t="s">
        <v>85</v>
      </c>
      <c r="H8" s="34" t="s">
        <v>102</v>
      </c>
      <c r="I8" s="35">
        <v>0.1</v>
      </c>
      <c r="J8" s="36" t="s">
        <v>106</v>
      </c>
      <c r="K8" s="37"/>
    </row>
    <row r="9" spans="1:11" x14ac:dyDescent="0.25">
      <c r="A9" s="33" t="s">
        <v>82</v>
      </c>
      <c r="B9">
        <v>1.1000000000000001</v>
      </c>
      <c r="C9" s="33" t="s">
        <v>110</v>
      </c>
      <c r="H9" s="34" t="s">
        <v>103</v>
      </c>
      <c r="I9" s="35">
        <v>100</v>
      </c>
      <c r="J9" s="36" t="s">
        <v>80</v>
      </c>
      <c r="K9" s="37"/>
    </row>
    <row r="10" spans="1:11" x14ac:dyDescent="0.25">
      <c r="A10" s="33" t="s">
        <v>67</v>
      </c>
      <c r="B10">
        <v>24</v>
      </c>
      <c r="C10" s="33" t="s">
        <v>88</v>
      </c>
      <c r="H10" s="34" t="s">
        <v>92</v>
      </c>
      <c r="I10" s="35">
        <v>90</v>
      </c>
      <c r="J10" s="36" t="s">
        <v>107</v>
      </c>
      <c r="K10" s="37"/>
    </row>
    <row r="11" spans="1:11" ht="13.8" thickBot="1" x14ac:dyDescent="0.3">
      <c r="A11" s="33" t="s">
        <v>66</v>
      </c>
      <c r="B11">
        <v>70</v>
      </c>
      <c r="C11" s="33" t="s">
        <v>89</v>
      </c>
      <c r="H11" s="38" t="s">
        <v>95</v>
      </c>
      <c r="I11" s="39">
        <f>2*(I6/I7)*(1/(I8*(I9/I10)^2)) - 1</f>
        <v>31.399999999999991</v>
      </c>
      <c r="J11" s="40" t="s">
        <v>108</v>
      </c>
      <c r="K11" s="41"/>
    </row>
    <row r="12" spans="1:11" x14ac:dyDescent="0.25">
      <c r="A12" s="33" t="s">
        <v>83</v>
      </c>
      <c r="B12">
        <v>0</v>
      </c>
      <c r="C12" s="33" t="s">
        <v>84</v>
      </c>
    </row>
    <row r="13" spans="1:11" x14ac:dyDescent="0.25">
      <c r="A13" s="33" t="s">
        <v>90</v>
      </c>
      <c r="B13">
        <f>(B10*LN(((SQRT(B6^2+B7*B8^2)/B5)^2 - B12)/((SQRT(B6^2+B7*B8^2)/B5)^2 - B9)))*60</f>
        <v>186.33887896681648</v>
      </c>
      <c r="C13" s="33" t="s">
        <v>109</v>
      </c>
    </row>
    <row r="14" spans="1:11" x14ac:dyDescent="0.25">
      <c r="A14" s="33" t="s">
        <v>91</v>
      </c>
    </row>
    <row r="15" spans="1:11" x14ac:dyDescent="0.25">
      <c r="A15" s="33"/>
    </row>
    <row r="16" spans="1:11" x14ac:dyDescent="0.25">
      <c r="A16" s="33" t="s">
        <v>86</v>
      </c>
    </row>
    <row r="17" spans="1:3" x14ac:dyDescent="0.25">
      <c r="A17" s="33" t="s">
        <v>67</v>
      </c>
      <c r="C17" s="33" t="s">
        <v>65</v>
      </c>
    </row>
    <row r="18" spans="1:3" x14ac:dyDescent="0.25">
      <c r="A18" s="33" t="s">
        <v>66</v>
      </c>
      <c r="C18" s="33" t="s">
        <v>68</v>
      </c>
    </row>
    <row r="19" spans="1:3" x14ac:dyDescent="0.25">
      <c r="A19" s="33" t="s">
        <v>69</v>
      </c>
      <c r="C19" s="33" t="s">
        <v>70</v>
      </c>
    </row>
    <row r="20" spans="1:3" x14ac:dyDescent="0.25">
      <c r="A20" s="33" t="s">
        <v>71</v>
      </c>
      <c r="C20" s="33" t="s">
        <v>72</v>
      </c>
    </row>
    <row r="21" spans="1:3" x14ac:dyDescent="0.25">
      <c r="A21" s="33" t="s">
        <v>73</v>
      </c>
      <c r="C21" s="33" t="s">
        <v>74</v>
      </c>
    </row>
    <row r="22" spans="1:3" x14ac:dyDescent="0.25">
      <c r="A22" s="33" t="s">
        <v>75</v>
      </c>
      <c r="C22" s="33" t="s">
        <v>76</v>
      </c>
    </row>
    <row r="23" spans="1:3" x14ac:dyDescent="0.25">
      <c r="A23" s="33" t="s">
        <v>77</v>
      </c>
      <c r="C23" s="33" t="s">
        <v>78</v>
      </c>
    </row>
    <row r="24" spans="1:3" x14ac:dyDescent="0.25">
      <c r="A24" s="33" t="s">
        <v>79</v>
      </c>
      <c r="C24" s="33" t="s">
        <v>80</v>
      </c>
    </row>
  </sheetData>
  <pageMargins left="0.7" right="0.7" top="0.75" bottom="0.75" header="0.3" footer="0.3"/>
  <headerFooter>
    <oddFooter>&amp;C_x000D_&amp;1#&amp;"Calibri"&amp;6&amp;K626469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ANSI-51_IEC</vt:lpstr>
      <vt:lpstr>ANSI-51_IEEE</vt:lpstr>
      <vt:lpstr>ANSI-51_IAC</vt:lpstr>
      <vt:lpstr>ANSI-51_RI</vt:lpstr>
      <vt:lpstr>ANSI-49</vt:lpstr>
    </vt:vector>
  </TitlesOfParts>
  <Company>Schneider Electric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Parsons &amp; Bob Shanahan</dc:creator>
  <cp:lastModifiedBy>Neide Aparecida Braga Wong</cp:lastModifiedBy>
  <dcterms:created xsi:type="dcterms:W3CDTF">2008-12-10T15:21:49Z</dcterms:created>
  <dcterms:modified xsi:type="dcterms:W3CDTF">2025-02-26T10:28:17Z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507802-f8e4-4e38-829c-ac8ea9b241e4_Enabled">
    <vt:lpwstr>true</vt:lpwstr>
  </property>
  <property fmtid="{D5CDD505-2E9C-101B-9397-08002B2CF9AE}" pid="3" name="MSIP_Label_23507802-f8e4-4e38-829c-ac8ea9b241e4_SetDate">
    <vt:lpwstr>2025-02-26T10:28:15Z</vt:lpwstr>
  </property>
  <property fmtid="{D5CDD505-2E9C-101B-9397-08002B2CF9AE}" pid="4" name="MSIP_Label_23507802-f8e4-4e38-829c-ac8ea9b241e4_Method">
    <vt:lpwstr>Privileged</vt:lpwstr>
  </property>
  <property fmtid="{D5CDD505-2E9C-101B-9397-08002B2CF9AE}" pid="5" name="MSIP_Label_23507802-f8e4-4e38-829c-ac8ea9b241e4_Name">
    <vt:lpwstr>Public v2</vt:lpwstr>
  </property>
  <property fmtid="{D5CDD505-2E9C-101B-9397-08002B2CF9AE}" pid="6" name="MSIP_Label_23507802-f8e4-4e38-829c-ac8ea9b241e4_SiteId">
    <vt:lpwstr>6e51e1ad-c54b-4b39-b598-0ffe9ae68fef</vt:lpwstr>
  </property>
  <property fmtid="{D5CDD505-2E9C-101B-9397-08002B2CF9AE}" pid="7" name="MSIP_Label_23507802-f8e4-4e38-829c-ac8ea9b241e4_ActionId">
    <vt:lpwstr>227d0a8f-fa71-4932-b8b2-fe4c57ec4415</vt:lpwstr>
  </property>
  <property fmtid="{D5CDD505-2E9C-101B-9397-08002B2CF9AE}" pid="8" name="MSIP_Label_23507802-f8e4-4e38-829c-ac8ea9b241e4_ContentBits">
    <vt:lpwstr>2</vt:lpwstr>
  </property>
</Properties>
</file>